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fileSharing readOnlyRecommended="1"/>
  <workbookPr hidePivotFieldList="1" defaultThemeVersion="166925"/>
  <mc:AlternateContent xmlns:mc="http://schemas.openxmlformats.org/markup-compatibility/2006">
    <mc:Choice Requires="x15">
      <x15ac:absPath xmlns:x15ac="http://schemas.microsoft.com/office/spreadsheetml/2010/11/ac" url="https://d.docs.live.net/afd009002bb950af/Desktop/fran/2024/IWCA/Calculadoras 2024/"/>
    </mc:Choice>
  </mc:AlternateContent>
  <xr:revisionPtr revIDLastSave="1" documentId="13_ncr:1_{637D6603-39C3-4DB0-B16D-4EB9468FF98B}" xr6:coauthVersionLast="47" xr6:coauthVersionMax="47" xr10:uidLastSave="{3A6EFEEA-71BD-4CCF-A70E-0BD1650B7157}"/>
  <bookViews>
    <workbookView xWindow="28680" yWindow="-120" windowWidth="29040" windowHeight="15840" tabRatio="881" firstSheet="20" activeTab="28" xr2:uid="{00000000-000D-0000-FFFF-FFFF00000000}"/>
  </bookViews>
  <sheets>
    <sheet name="Intro" sheetId="62" r:id="rId1"/>
    <sheet name="IWCA GHG Boundaries" sheetId="58" r:id="rId2"/>
    <sheet name="Summary" sheetId="32" r:id="rId3"/>
    <sheet name="GHG Emissons Breakdown" sheetId="59" r:id="rId4"/>
    <sheet name="Auditor Worksheet" sheetId="60" r:id="rId5"/>
    <sheet name="Stationary" sheetId="12" r:id="rId6"/>
    <sheet name="Mobile" sheetId="45" r:id="rId7"/>
    <sheet name="Soil and Fertilizer" sheetId="13" r:id="rId8"/>
    <sheet name="Onsite Waste" sheetId="9" r:id="rId9"/>
    <sheet name="Fugitive (refrigerants)" sheetId="48" r:id="rId10"/>
    <sheet name="Biomass Burning" sheetId="52" r:id="rId11"/>
    <sheet name="Land Conversion" sheetId="50" r:id="rId12"/>
    <sheet name="Electricity" sheetId="3" r:id="rId13"/>
    <sheet name="Packaging" sheetId="6" r:id="rId14"/>
    <sheet name="Purchased Products" sheetId="11" r:id="rId15"/>
    <sheet name="Product Transport" sheetId="10" r:id="rId16"/>
    <sheet name="Offsite Waste" sheetId="8" r:id="rId17"/>
    <sheet name="Post Consumer Waste" sheetId="49" r:id="rId18"/>
    <sheet name="Business Travel" sheetId="2" r:id="rId19"/>
    <sheet name="Employee Commuting" sheetId="46" r:id="rId20"/>
    <sheet name="Tasting Room Traffic" sheetId="51" r:id="rId21"/>
    <sheet name="Fertilizer Production" sheetId="56" r:id="rId22"/>
    <sheet name="Wine Storage Energy" sheetId="55" r:id="rId23"/>
    <sheet name="Winemaking" sheetId="16" r:id="rId24"/>
    <sheet name="Vineyard - Row Cropping" sheetId="14" r:id="rId25"/>
    <sheet name="Vineyard - Biomass Photosynth" sheetId="15" r:id="rId26"/>
    <sheet name="Compost Application" sheetId="57" r:id="rId27"/>
    <sheet name="Soil Carbon Sequestration" sheetId="53" r:id="rId28"/>
    <sheet name="Emission Factors" sheetId="44" r:id="rId29"/>
  </sheets>
  <externalReferences>
    <externalReference r:id="rId30"/>
    <externalReference r:id="rId31"/>
    <externalReference r:id="rId32"/>
    <externalReference r:id="rId33"/>
    <externalReference r:id="rId34"/>
    <externalReference r:id="rId35"/>
    <externalReference r:id="rId36"/>
  </externalReferences>
  <definedNames>
    <definedName name="_xlnm._FilterDatabase" localSheetId="18" hidden="1">'Business Travel'!$C$44:$F$44</definedName>
    <definedName name="_xlnm._FilterDatabase" localSheetId="19" hidden="1">'Employee Commuting'!#REF!</definedName>
    <definedName name="_xlnm._FilterDatabase" localSheetId="21" hidden="1">'Fertilizer Production'!$A$7:$D$7</definedName>
    <definedName name="_xlnm._FilterDatabase" localSheetId="13" hidden="1">Packaging!$A$43:$G$59</definedName>
    <definedName name="_xlchart.v1.0" hidden="1">Summary!$I$2:$K$74</definedName>
    <definedName name="_xlchart.v1.1" hidden="1">Summary!$M$2:$M$74</definedName>
    <definedName name="_xlchart.v1.2" hidden="1">Summary!$I$2:$K$74</definedName>
    <definedName name="_xlchart.v1.3" hidden="1">Summary!$M$1</definedName>
    <definedName name="_xlchart.v1.4" hidden="1">Summary!$M$2:$M$74</definedName>
    <definedName name="_xlchart.v1.5" hidden="1">Summary!$I$2:$K$74</definedName>
    <definedName name="_xlchart.v1.6" hidden="1">Summary!$L$2:$L$74</definedName>
    <definedName name="_xlchart.v1.7" hidden="1">Summary!$I$2:$K$74</definedName>
    <definedName name="_xlchart.v1.8" hidden="1">Summary!$L$1</definedName>
    <definedName name="_xlchart.v1.9" hidden="1">Summary!$L$2:$L$74</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4">'Auditor Worksheet'!$C$1:$H$98</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H4GWP" localSheetId="4">#REF!</definedName>
    <definedName name="CH4GWP" localSheetId="10">'[1]Emission Factors'!#REF!</definedName>
    <definedName name="CH4GWP" localSheetId="26">#REF!</definedName>
    <definedName name="CH4GWP" localSheetId="21">#REF!</definedName>
    <definedName name="CH4GWP" localSheetId="9">#REF!</definedName>
    <definedName name="CH4GWP" localSheetId="3">#REF!</definedName>
    <definedName name="CH4GWP" localSheetId="0">#REF!</definedName>
    <definedName name="CH4GWP" localSheetId="11">#REF!</definedName>
    <definedName name="CH4GWP" localSheetId="17">#REF!</definedName>
    <definedName name="CH4GWP" localSheetId="20">#REF!</definedName>
    <definedName name="CH4GWP" localSheetId="22">#REF!</definedName>
    <definedName name="CH4GWP">#REF!</definedName>
    <definedName name="Country" localSheetId="4">#REF!</definedName>
    <definedName name="Country" localSheetId="10">'[1]Emission Factors'!#REF!</definedName>
    <definedName name="Country" localSheetId="26">#REF!</definedName>
    <definedName name="Country" localSheetId="21">#REF!</definedName>
    <definedName name="Country" localSheetId="9">#REF!</definedName>
    <definedName name="Country" localSheetId="3">#REF!</definedName>
    <definedName name="Country" localSheetId="0">#REF!</definedName>
    <definedName name="Country" localSheetId="11">#REF!</definedName>
    <definedName name="Country" localSheetId="17">#REF!</definedName>
    <definedName name="Country" localSheetId="20">#REF!</definedName>
    <definedName name="Country" localSheetId="22">#REF!</definedName>
    <definedName name="Country">#REF!</definedName>
    <definedName name="Def_Pet_N2O" localSheetId="4">'[2]Fuel 2020'!$G$47</definedName>
    <definedName name="Def_Pet_N2O" localSheetId="3">'[2]Fuel 2020'!$G$47</definedName>
    <definedName name="Def_Pet_N2O" localSheetId="0">'[2]Fuel 2020'!$G$47</definedName>
    <definedName name="Def_Pet_N2O">'[3]Fuel 2020'!$G$47</definedName>
    <definedName name="Diesel_CH4N2O" localSheetId="4">#REF!</definedName>
    <definedName name="Diesel_CH4N2O" localSheetId="26">#REF!</definedName>
    <definedName name="Diesel_CH4N2O" localSheetId="21">#REF!</definedName>
    <definedName name="Diesel_CH4N2O" localSheetId="9">#REF!</definedName>
    <definedName name="Diesel_CH4N2O" localSheetId="3">#REF!</definedName>
    <definedName name="Diesel_CH4N2O" localSheetId="0">#REF!</definedName>
    <definedName name="Diesel_CH4N2O" localSheetId="11">#REF!</definedName>
    <definedName name="Diesel_CH4N2O" localSheetId="17">#REF!</definedName>
    <definedName name="Diesel_CH4N2O" localSheetId="20">#REF!</definedName>
    <definedName name="Diesel_CH4N2O" localSheetId="22">#REF!</definedName>
    <definedName name="Diesel_CH4N2O">#REF!</definedName>
    <definedName name="DieselHeavyDuty_CH4" localSheetId="4">#REF!</definedName>
    <definedName name="DieselHeavyDuty_CH4" localSheetId="26">#REF!</definedName>
    <definedName name="DieselHeavyDuty_CH4" localSheetId="21">#REF!</definedName>
    <definedName name="DieselHeavyDuty_CH4" localSheetId="9">#REF!</definedName>
    <definedName name="DieselHeavyDuty_CH4" localSheetId="3">#REF!</definedName>
    <definedName name="DieselHeavyDuty_CH4" localSheetId="0">#REF!</definedName>
    <definedName name="DieselHeavyDuty_CH4" localSheetId="11">#REF!</definedName>
    <definedName name="DieselHeavyDuty_CH4" localSheetId="17">#REF!</definedName>
    <definedName name="DieselHeavyDuty_CH4" localSheetId="20">#REF!</definedName>
    <definedName name="DieselHeavyDuty_CH4" localSheetId="22">#REF!</definedName>
    <definedName name="DieselHeavyDuty_CH4">#REF!</definedName>
    <definedName name="DieselHeavyDuty_N2O" localSheetId="4">#REF!</definedName>
    <definedName name="DieselHeavyDuty_N2O" localSheetId="26">#REF!</definedName>
    <definedName name="DieselHeavyDuty_N2O" localSheetId="21">#REF!</definedName>
    <definedName name="DieselHeavyDuty_N2O" localSheetId="9">#REF!</definedName>
    <definedName name="DieselHeavyDuty_N2O" localSheetId="3">#REF!</definedName>
    <definedName name="DieselHeavyDuty_N2O" localSheetId="0">#REF!</definedName>
    <definedName name="DieselHeavyDuty_N2O" localSheetId="11">#REF!</definedName>
    <definedName name="DieselHeavyDuty_N2O" localSheetId="17">#REF!</definedName>
    <definedName name="DieselHeavyDuty_N2O" localSheetId="20">#REF!</definedName>
    <definedName name="DieselHeavyDuty_N2O" localSheetId="22">#REF!</definedName>
    <definedName name="DieselHeavyDuty_N2O">#REF!</definedName>
    <definedName name="DieselLtDuty_CH4" localSheetId="4">#REF!</definedName>
    <definedName name="DieselLtDuty_CH4" localSheetId="26">#REF!</definedName>
    <definedName name="DieselLtDuty_CH4" localSheetId="21">#REF!</definedName>
    <definedName name="DieselLtDuty_CH4" localSheetId="9">#REF!</definedName>
    <definedName name="DieselLtDuty_CH4" localSheetId="3">#REF!</definedName>
    <definedName name="DieselLtDuty_CH4" localSheetId="0">#REF!</definedName>
    <definedName name="DieselLtDuty_CH4" localSheetId="11">#REF!</definedName>
    <definedName name="DieselLtDuty_CH4" localSheetId="17">#REF!</definedName>
    <definedName name="DieselLtDuty_CH4" localSheetId="20">#REF!</definedName>
    <definedName name="DieselLtDuty_CH4" localSheetId="22">#REF!</definedName>
    <definedName name="DieselLtDuty_CH4">#REF!</definedName>
    <definedName name="DieselLtDuty_N2O" localSheetId="4">#REF!</definedName>
    <definedName name="DieselLtDuty_N2O" localSheetId="26">#REF!</definedName>
    <definedName name="DieselLtDuty_N2O" localSheetId="21">#REF!</definedName>
    <definedName name="DieselLtDuty_N2O" localSheetId="9">#REF!</definedName>
    <definedName name="DieselLtDuty_N2O" localSheetId="3">#REF!</definedName>
    <definedName name="DieselLtDuty_N2O" localSheetId="0">#REF!</definedName>
    <definedName name="DieselLtDuty_N2O" localSheetId="11">#REF!</definedName>
    <definedName name="DieselLtDuty_N2O" localSheetId="17">#REF!</definedName>
    <definedName name="DieselLtDuty_N2O" localSheetId="20">#REF!</definedName>
    <definedName name="DieselLtDuty_N2O" localSheetId="22">#REF!</definedName>
    <definedName name="DieselLtDuty_N2O">#REF!</definedName>
    <definedName name="DieselPassCar_CH4" localSheetId="4">#REF!</definedName>
    <definedName name="DieselPassCar_CH4" localSheetId="26">#REF!</definedName>
    <definedName name="DieselPassCar_CH4" localSheetId="21">#REF!</definedName>
    <definedName name="DieselPassCar_CH4" localSheetId="9">#REF!</definedName>
    <definedName name="DieselPassCar_CH4" localSheetId="3">#REF!</definedName>
    <definedName name="DieselPassCar_CH4" localSheetId="0">#REF!</definedName>
    <definedName name="DieselPassCar_CH4" localSheetId="11">#REF!</definedName>
    <definedName name="DieselPassCar_CH4" localSheetId="17">#REF!</definedName>
    <definedName name="DieselPassCar_CH4" localSheetId="20">#REF!</definedName>
    <definedName name="DieselPassCar_CH4" localSheetId="22">#REF!</definedName>
    <definedName name="DieselPassCar_CH4">#REF!</definedName>
    <definedName name="DieselPassCar_N2O" localSheetId="4">#REF!</definedName>
    <definedName name="DieselPassCar_N2O" localSheetId="26">#REF!</definedName>
    <definedName name="DieselPassCar_N2O" localSheetId="21">#REF!</definedName>
    <definedName name="DieselPassCar_N2O" localSheetId="9">#REF!</definedName>
    <definedName name="DieselPassCar_N2O" localSheetId="3">#REF!</definedName>
    <definedName name="DieselPassCar_N2O" localSheetId="0">#REF!</definedName>
    <definedName name="DieselPassCar_N2O" localSheetId="11">#REF!</definedName>
    <definedName name="DieselPassCar_N2O" localSheetId="17">#REF!</definedName>
    <definedName name="DieselPassCar_N2O" localSheetId="20">#REF!</definedName>
    <definedName name="DieselPassCar_N2O" localSheetId="22">#REF!</definedName>
    <definedName name="DieselPassCar_N2O">#REF!</definedName>
    <definedName name="Dir_Line_Supply_Type" localSheetId="4">#REF!</definedName>
    <definedName name="Dir_Line_Supply_Type" localSheetId="10">'[1]Emission Factors'!#REF!</definedName>
    <definedName name="Dir_Line_Supply_Type" localSheetId="26">#REF!</definedName>
    <definedName name="Dir_Line_Supply_Type" localSheetId="21">#REF!</definedName>
    <definedName name="Dir_Line_Supply_Type" localSheetId="9">#REF!</definedName>
    <definedName name="Dir_Line_Supply_Type" localSheetId="3">#REF!</definedName>
    <definedName name="Dir_Line_Supply_Type" localSheetId="0">#REF!</definedName>
    <definedName name="Dir_Line_Supply_Type" localSheetId="11">#REF!</definedName>
    <definedName name="Dir_Line_Supply_Type" localSheetId="17">#REF!</definedName>
    <definedName name="Dir_Line_Supply_Type" localSheetId="20">#REF!</definedName>
    <definedName name="Dir_Line_Supply_Type" localSheetId="22">#REF!</definedName>
    <definedName name="Dir_Line_Supply_Type">#REF!</definedName>
    <definedName name="eGRID" localSheetId="4">#REF!</definedName>
    <definedName name="eGRID" localSheetId="10">'[1]Emission Factors'!#REF!</definedName>
    <definedName name="eGRID" localSheetId="26">#REF!</definedName>
    <definedName name="eGRID" localSheetId="21">#REF!</definedName>
    <definedName name="eGRID" localSheetId="9">#REF!</definedName>
    <definedName name="eGRID" localSheetId="3">#REF!</definedName>
    <definedName name="eGRID" localSheetId="0">#REF!</definedName>
    <definedName name="eGRID" localSheetId="11">#REF!</definedName>
    <definedName name="eGRID" localSheetId="17">#REF!</definedName>
    <definedName name="eGRID" localSheetId="20">#REF!</definedName>
    <definedName name="eGRID" localSheetId="22">#REF!</definedName>
    <definedName name="eGRID">#REF!</definedName>
    <definedName name="eGRID_subregions" localSheetId="4">#REF!</definedName>
    <definedName name="eGRID_subregions" localSheetId="26">#REF!</definedName>
    <definedName name="eGRID_subregions" localSheetId="21">#REF!</definedName>
    <definedName name="eGRID_subregions" localSheetId="9">#REF!</definedName>
    <definedName name="eGRID_subregions" localSheetId="3">#REF!</definedName>
    <definedName name="eGRID_subregions" localSheetId="0">#REF!</definedName>
    <definedName name="eGRID_subregions" localSheetId="11">#REF!</definedName>
    <definedName name="eGRID_subregions" localSheetId="17">#REF!</definedName>
    <definedName name="eGRID_subregions" localSheetId="20">#REF!</definedName>
    <definedName name="eGRID_subregions" localSheetId="22">#REF!</definedName>
    <definedName name="eGRID_subregions">#REF!</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ity_2020_N2O" localSheetId="4">'[2]Purchased energy 2020'!$G$10</definedName>
    <definedName name="electricity_2020_N2O" localSheetId="3">'[2]Purchased energy 2020'!$G$10</definedName>
    <definedName name="electricity_2020_N2O" localSheetId="0">'[2]Purchased energy 2020'!$G$10</definedName>
    <definedName name="electricity_2020_N2O">'[3]Purchased energy 2020'!$G$10</definedName>
    <definedName name="EnerAttrCert_Name" localSheetId="4">#REF!</definedName>
    <definedName name="EnerAttrCert_Name" localSheetId="10">'[1]Emission Factors'!#REF!</definedName>
    <definedName name="EnerAttrCert_Name" localSheetId="26">#REF!</definedName>
    <definedName name="EnerAttrCert_Name" localSheetId="21">#REF!</definedName>
    <definedName name="EnerAttrCert_Name" localSheetId="9">#REF!</definedName>
    <definedName name="EnerAttrCert_Name" localSheetId="3">#REF!</definedName>
    <definedName name="EnerAttrCert_Name" localSheetId="0">#REF!</definedName>
    <definedName name="EnerAttrCert_Name" localSheetId="11">#REF!</definedName>
    <definedName name="EnerAttrCert_Name" localSheetId="17">#REF!</definedName>
    <definedName name="EnerAttrCert_Name" localSheetId="20">#REF!</definedName>
    <definedName name="EnerAttrCert_Name" localSheetId="22">#REF!</definedName>
    <definedName name="EnerAttrCert_Name">#REF!</definedName>
    <definedName name="GJperkWh" localSheetId="4">#REF!</definedName>
    <definedName name="GJperkWh" localSheetId="10">'[1]Emission Factors'!#REF!</definedName>
    <definedName name="GJperkWh" localSheetId="26">#REF!</definedName>
    <definedName name="GJperkWh" localSheetId="21">#REF!</definedName>
    <definedName name="GJperkWh" localSheetId="9">#REF!</definedName>
    <definedName name="GJperkWh" localSheetId="3">#REF!</definedName>
    <definedName name="GJperkWh" localSheetId="0">#REF!</definedName>
    <definedName name="GJperkWh" localSheetId="11">#REF!</definedName>
    <definedName name="GJperkWh" localSheetId="17">#REF!</definedName>
    <definedName name="GJperkWh" localSheetId="20">#REF!</definedName>
    <definedName name="GJperkWh" localSheetId="22">#REF!</definedName>
    <definedName name="GJperkWh">#REF!</definedName>
    <definedName name="LBPERKG" localSheetId="4">#REF!</definedName>
    <definedName name="LBPERKG" localSheetId="10">'[1]Emission Factors'!#REF!</definedName>
    <definedName name="LBPERKG" localSheetId="26">#REF!</definedName>
    <definedName name="LBPERKG" localSheetId="21">#REF!</definedName>
    <definedName name="LBPERKG" localSheetId="9">#REF!</definedName>
    <definedName name="LBPERKG" localSheetId="3">#REF!</definedName>
    <definedName name="LBPERKG" localSheetId="0">#REF!</definedName>
    <definedName name="LBPERKG" localSheetId="11">#REF!</definedName>
    <definedName name="LBPERKG" localSheetId="17">#REF!</definedName>
    <definedName name="LBPERKG" localSheetId="20">#REF!</definedName>
    <definedName name="LBPERKG" localSheetId="22">#REF!</definedName>
    <definedName name="LBPERKG">#REF!</definedName>
    <definedName name="LBPERTON" localSheetId="4">#REF!</definedName>
    <definedName name="LBPERTON" localSheetId="10">'[1]Emission Factors'!#REF!</definedName>
    <definedName name="LBPERTON" localSheetId="26">#REF!</definedName>
    <definedName name="LBPERTON" localSheetId="21">#REF!</definedName>
    <definedName name="LBPERTON" localSheetId="9">#REF!</definedName>
    <definedName name="LBPERTON" localSheetId="3">#REF!</definedName>
    <definedName name="LBPERTON" localSheetId="0">#REF!</definedName>
    <definedName name="LBPERTON" localSheetId="11">#REF!</definedName>
    <definedName name="LBPERTON" localSheetId="17">#REF!</definedName>
    <definedName name="LBPERTON" localSheetId="20">#REF!</definedName>
    <definedName name="LBPERTON" localSheetId="22">#REF!</definedName>
    <definedName name="LBPERTON">#REF!</definedName>
    <definedName name="metrictonPERshortTon" localSheetId="4">#REF!</definedName>
    <definedName name="metrictonPERshortTon" localSheetId="10">'[1]Emission Factors'!#REF!</definedName>
    <definedName name="metrictonPERshortTon" localSheetId="26">#REF!</definedName>
    <definedName name="metrictonPERshortTon" localSheetId="21">#REF!</definedName>
    <definedName name="metrictonPERshortTon" localSheetId="9">#REF!</definedName>
    <definedName name="metrictonPERshortTon" localSheetId="3">#REF!</definedName>
    <definedName name="metrictonPERshortTon" localSheetId="0">#REF!</definedName>
    <definedName name="metrictonPERshortTon" localSheetId="11">#REF!</definedName>
    <definedName name="metrictonPERshortTon" localSheetId="17">#REF!</definedName>
    <definedName name="metrictonPERshortTon" localSheetId="20">#REF!</definedName>
    <definedName name="metrictonPERshortTon" localSheetId="22">#REF!</definedName>
    <definedName name="metrictonPERshortTon">#REF!</definedName>
    <definedName name="miles" localSheetId="10">'[4]State Distance'!$A$1:$B$52</definedName>
    <definedName name="miles" localSheetId="26">'[5]State Distance'!$A$1:$B$52</definedName>
    <definedName name="miles">'[5]State Distance'!$A$1:$B$52</definedName>
    <definedName name="Mobile_CH4N2O" localSheetId="4">#REF!</definedName>
    <definedName name="Mobile_CH4N2O" localSheetId="26">#REF!</definedName>
    <definedName name="Mobile_CH4N2O" localSheetId="21">#REF!</definedName>
    <definedName name="Mobile_CH4N2O" localSheetId="9">#REF!</definedName>
    <definedName name="Mobile_CH4N2O" localSheetId="3">#REF!</definedName>
    <definedName name="Mobile_CH4N2O" localSheetId="0">#REF!</definedName>
    <definedName name="Mobile_CH4N2O" localSheetId="11">#REF!</definedName>
    <definedName name="Mobile_CH4N2O" localSheetId="17">#REF!</definedName>
    <definedName name="Mobile_CH4N2O" localSheetId="20">#REF!</definedName>
    <definedName name="Mobile_CH4N2O" localSheetId="22">#REF!</definedName>
    <definedName name="Mobile_CH4N2O">#REF!</definedName>
    <definedName name="mtpershortton">0.907185</definedName>
    <definedName name="N2OGWP" localSheetId="4">#REF!</definedName>
    <definedName name="N2OGWP" localSheetId="10">'[1]Emission Factors'!#REF!</definedName>
    <definedName name="N2OGWP" localSheetId="26">#REF!</definedName>
    <definedName name="N2OGWP" localSheetId="21">#REF!</definedName>
    <definedName name="N2OGWP" localSheetId="9">#REF!</definedName>
    <definedName name="N2OGWP" localSheetId="3">#REF!</definedName>
    <definedName name="N2OGWP" localSheetId="0">#REF!</definedName>
    <definedName name="N2OGWP" localSheetId="11">#REF!</definedName>
    <definedName name="N2OGWP" localSheetId="17">#REF!</definedName>
    <definedName name="N2OGWP" localSheetId="20">#REF!</definedName>
    <definedName name="N2OGWP" localSheetId="22">#REF!</definedName>
    <definedName name="N2OGWP">#REF!</definedName>
    <definedName name="OLE_LINK3" localSheetId="28">'Emission Factors'!$D$1128</definedName>
    <definedName name="shortTonPERlb" localSheetId="4">#REF!</definedName>
    <definedName name="shortTonPERlb" localSheetId="10">'[1]Emission Factors'!#REF!</definedName>
    <definedName name="shortTonPERlb" localSheetId="26">#REF!</definedName>
    <definedName name="shortTonPERlb" localSheetId="21">#REF!</definedName>
    <definedName name="shortTonPERlb" localSheetId="9">#REF!</definedName>
    <definedName name="shortTonPERlb" localSheetId="3">#REF!</definedName>
    <definedName name="shortTonPERlb" localSheetId="0">#REF!</definedName>
    <definedName name="shortTonPERlb" localSheetId="11">#REF!</definedName>
    <definedName name="shortTonPERlb" localSheetId="17">#REF!</definedName>
    <definedName name="shortTonPERlb" localSheetId="20">#REF!</definedName>
    <definedName name="shortTonPERlb" localSheetId="22">#REF!</definedName>
    <definedName name="shortTonPERlb">#REF!</definedName>
    <definedName name="shorttonPERmetricton">1.1025</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UpdateYear" localSheetId="10">[6]Introduction!$E$6</definedName>
    <definedName name="UpdateYear" localSheetId="26">[7]Introduction!$E$6</definedName>
    <definedName name="UpdateYear">[7]Introduction!$E$6</definedName>
    <definedName name="VehicleMatch" localSheetId="4">#REF!</definedName>
    <definedName name="VehicleMatch" localSheetId="26">#REF!</definedName>
    <definedName name="VehicleMatch" localSheetId="21">#REF!</definedName>
    <definedName name="VehicleMatch" localSheetId="9">#REF!</definedName>
    <definedName name="VehicleMatch" localSheetId="3">#REF!</definedName>
    <definedName name="VehicleMatch" localSheetId="0">#REF!</definedName>
    <definedName name="VehicleMatch" localSheetId="11">#REF!</definedName>
    <definedName name="VehicleMatch" localSheetId="17">#REF!</definedName>
    <definedName name="VehicleMatch" localSheetId="20">#REF!</definedName>
    <definedName name="VehicleMatch" localSheetId="22">#REF!</definedName>
    <definedName name="VehicleMatch">#REF!</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48" l="1"/>
  <c r="D11" i="48"/>
  <c r="C156" i="11"/>
  <c r="C155" i="11"/>
  <c r="E80" i="60"/>
  <c r="E11" i="59"/>
  <c r="E14" i="59"/>
  <c r="F29" i="60"/>
  <c r="G280" i="11" l="1"/>
  <c r="G281" i="11"/>
  <c r="G282" i="11"/>
  <c r="G283" i="11"/>
  <c r="G284" i="11"/>
  <c r="G285" i="11"/>
  <c r="G286" i="11"/>
  <c r="G287" i="11"/>
  <c r="G288" i="11"/>
  <c r="G279" i="11"/>
  <c r="G268" i="11"/>
  <c r="G269" i="11"/>
  <c r="G270" i="11"/>
  <c r="G271" i="11"/>
  <c r="G272" i="11"/>
  <c r="G273" i="11"/>
  <c r="G274" i="11"/>
  <c r="G275" i="11"/>
  <c r="G276" i="11"/>
  <c r="G267" i="11"/>
  <c r="G256" i="11"/>
  <c r="G257" i="11"/>
  <c r="G258" i="11"/>
  <c r="G259" i="11"/>
  <c r="G260" i="11"/>
  <c r="G261" i="11"/>
  <c r="G262" i="11"/>
  <c r="G263" i="11"/>
  <c r="G264" i="11"/>
  <c r="G255" i="11"/>
  <c r="G245" i="11"/>
  <c r="G246" i="11"/>
  <c r="G247" i="11"/>
  <c r="G248" i="11"/>
  <c r="G249" i="11"/>
  <c r="G250" i="11"/>
  <c r="G251" i="11"/>
  <c r="G252" i="11"/>
  <c r="G244" i="11"/>
  <c r="G243" i="11"/>
  <c r="F59" i="60"/>
  <c r="M42" i="57" l="1"/>
  <c r="M38" i="57"/>
  <c r="M39" i="57"/>
  <c r="M40" i="57"/>
  <c r="M41" i="57"/>
  <c r="M37" i="57"/>
  <c r="L38" i="57"/>
  <c r="L39" i="57"/>
  <c r="L40" i="57"/>
  <c r="L41" i="57"/>
  <c r="L37" i="57"/>
  <c r="F23" i="46"/>
  <c r="F24" i="46"/>
  <c r="F25" i="46"/>
  <c r="F22" i="46"/>
  <c r="E22" i="46" l="1"/>
  <c r="E23" i="46"/>
  <c r="F46" i="2"/>
  <c r="C112" i="10"/>
  <c r="D112" i="10"/>
  <c r="E112" i="10"/>
  <c r="C113" i="10"/>
  <c r="D113" i="10"/>
  <c r="E113" i="10"/>
  <c r="C114" i="10"/>
  <c r="D114" i="10"/>
  <c r="E114" i="10"/>
  <c r="C115" i="10"/>
  <c r="D115" i="10"/>
  <c r="E115" i="10"/>
  <c r="C116" i="10"/>
  <c r="D116" i="10"/>
  <c r="E116" i="10"/>
  <c r="C117" i="10"/>
  <c r="D117" i="10"/>
  <c r="E117" i="10"/>
  <c r="C118" i="10"/>
  <c r="D118" i="10"/>
  <c r="E118" i="10"/>
  <c r="C119" i="10"/>
  <c r="D119" i="10"/>
  <c r="E119" i="10"/>
  <c r="C120" i="10"/>
  <c r="D120" i="10"/>
  <c r="E120" i="10"/>
  <c r="D111" i="10"/>
  <c r="E111" i="10"/>
  <c r="C111" i="10"/>
  <c r="B61" i="3"/>
  <c r="C185" i="45" l="1"/>
  <c r="C186" i="45"/>
  <c r="C187" i="45"/>
  <c r="C188" i="45"/>
  <c r="C189" i="45"/>
  <c r="C190" i="45"/>
  <c r="C191" i="45"/>
  <c r="C192" i="45"/>
  <c r="C193" i="45"/>
  <c r="C184" i="45"/>
  <c r="E18" i="32"/>
  <c r="C56" i="2"/>
  <c r="D9" i="51"/>
  <c r="D10" i="51"/>
  <c r="D11" i="51"/>
  <c r="F11" i="51" s="1"/>
  <c r="D12" i="51"/>
  <c r="F12" i="51" s="1"/>
  <c r="D13" i="51"/>
  <c r="D14" i="51"/>
  <c r="F14" i="51" s="1"/>
  <c r="D15" i="51"/>
  <c r="F15" i="51" s="1"/>
  <c r="D16" i="51"/>
  <c r="D17" i="51"/>
  <c r="F17" i="51" s="1"/>
  <c r="D18" i="51"/>
  <c r="F18" i="51" s="1"/>
  <c r="D19" i="51"/>
  <c r="D20" i="51"/>
  <c r="F20" i="51" s="1"/>
  <c r="D21" i="51"/>
  <c r="F21" i="51" s="1"/>
  <c r="D22" i="51"/>
  <c r="D23" i="51"/>
  <c r="F23" i="51" s="1"/>
  <c r="D24" i="51"/>
  <c r="F24" i="51" s="1"/>
  <c r="D25" i="51"/>
  <c r="D26" i="51"/>
  <c r="F26" i="51" s="1"/>
  <c r="D27" i="51"/>
  <c r="F27" i="51" s="1"/>
  <c r="D28" i="51"/>
  <c r="F10" i="51"/>
  <c r="F13" i="51"/>
  <c r="F16" i="51"/>
  <c r="F19" i="51"/>
  <c r="F22" i="51"/>
  <c r="F25" i="51"/>
  <c r="F28" i="51"/>
  <c r="F9" i="51"/>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93" i="2"/>
  <c r="K66" i="32"/>
  <c r="E94" i="2"/>
  <c r="F94" i="2" s="1"/>
  <c r="E95" i="2"/>
  <c r="F95" i="2" s="1"/>
  <c r="E96" i="2"/>
  <c r="F96" i="2" s="1"/>
  <c r="E97" i="2"/>
  <c r="F97" i="2" s="1"/>
  <c r="E98" i="2"/>
  <c r="F98" i="2" s="1"/>
  <c r="E99" i="2"/>
  <c r="F99" i="2" s="1"/>
  <c r="E100" i="2"/>
  <c r="F100" i="2" s="1"/>
  <c r="E101" i="2"/>
  <c r="F101" i="2" s="1"/>
  <c r="E102" i="2"/>
  <c r="F102" i="2" s="1"/>
  <c r="E103" i="2"/>
  <c r="F103" i="2" s="1"/>
  <c r="E104" i="2"/>
  <c r="F104" i="2" s="1"/>
  <c r="E105" i="2"/>
  <c r="F105" i="2" s="1"/>
  <c r="E106" i="2"/>
  <c r="F106" i="2" s="1"/>
  <c r="E107" i="2"/>
  <c r="F107" i="2" s="1"/>
  <c r="E108" i="2"/>
  <c r="F108" i="2" s="1"/>
  <c r="E109" i="2"/>
  <c r="F109" i="2" s="1"/>
  <c r="E110" i="2"/>
  <c r="F110" i="2" s="1"/>
  <c r="E111" i="2"/>
  <c r="F111" i="2" s="1"/>
  <c r="E112" i="2"/>
  <c r="F112" i="2" s="1"/>
  <c r="E113" i="2"/>
  <c r="F113" i="2" s="1"/>
  <c r="E114" i="2"/>
  <c r="F114" i="2" s="1"/>
  <c r="E115" i="2"/>
  <c r="F115" i="2" s="1"/>
  <c r="E116" i="2"/>
  <c r="F116" i="2" s="1"/>
  <c r="E117" i="2"/>
  <c r="F117" i="2" s="1"/>
  <c r="E118" i="2"/>
  <c r="F118" i="2" s="1"/>
  <c r="E119" i="2"/>
  <c r="F119" i="2" s="1"/>
  <c r="E120" i="2"/>
  <c r="F120" i="2" s="1"/>
  <c r="E121" i="2"/>
  <c r="F121" i="2" s="1"/>
  <c r="E122" i="2"/>
  <c r="F122" i="2" s="1"/>
  <c r="E123" i="2"/>
  <c r="F123" i="2" s="1"/>
  <c r="E124" i="2"/>
  <c r="F124" i="2" s="1"/>
  <c r="E125" i="2"/>
  <c r="F125" i="2" s="1"/>
  <c r="E126" i="2"/>
  <c r="F126" i="2" s="1"/>
  <c r="E127" i="2"/>
  <c r="F127" i="2" s="1"/>
  <c r="E128" i="2"/>
  <c r="F128" i="2" s="1"/>
  <c r="E129" i="2"/>
  <c r="F129" i="2" s="1"/>
  <c r="E130" i="2"/>
  <c r="F130" i="2" s="1"/>
  <c r="E131" i="2"/>
  <c r="F131" i="2" s="1"/>
  <c r="E132" i="2"/>
  <c r="F132" i="2" s="1"/>
  <c r="E133" i="2"/>
  <c r="F133" i="2" s="1"/>
  <c r="E134" i="2"/>
  <c r="F134" i="2" s="1"/>
  <c r="E135" i="2"/>
  <c r="F135" i="2" s="1"/>
  <c r="E136" i="2"/>
  <c r="F136" i="2" s="1"/>
  <c r="E137" i="2"/>
  <c r="F137" i="2" s="1"/>
  <c r="E138" i="2"/>
  <c r="F138" i="2" s="1"/>
  <c r="E139" i="2"/>
  <c r="F139" i="2" s="1"/>
  <c r="E140" i="2"/>
  <c r="F140" i="2" s="1"/>
  <c r="E141" i="2"/>
  <c r="F141" i="2" s="1"/>
  <c r="E142" i="2"/>
  <c r="F142" i="2" s="1"/>
  <c r="E143" i="2"/>
  <c r="F143" i="2" s="1"/>
  <c r="E144" i="2"/>
  <c r="F144" i="2" s="1"/>
  <c r="E145" i="2"/>
  <c r="F145" i="2" s="1"/>
  <c r="E146" i="2"/>
  <c r="F146" i="2" s="1"/>
  <c r="E147" i="2"/>
  <c r="F147" i="2" s="1"/>
  <c r="E148" i="2"/>
  <c r="F148" i="2" s="1"/>
  <c r="E93" i="2"/>
  <c r="F93" i="2" s="1"/>
  <c r="F149" i="2" l="1"/>
  <c r="B9" i="2" s="1"/>
  <c r="F89" i="32"/>
  <c r="L66" i="32" l="1"/>
  <c r="M66" i="32" s="1"/>
  <c r="D198" i="11"/>
  <c r="D199" i="11"/>
  <c r="D200" i="11"/>
  <c r="D201" i="11"/>
  <c r="D202" i="11"/>
  <c r="D203" i="11"/>
  <c r="D204" i="11"/>
  <c r="D205" i="11"/>
  <c r="D206" i="11"/>
  <c r="D207" i="11"/>
  <c r="D208" i="11"/>
  <c r="D209" i="11"/>
  <c r="D210" i="11"/>
  <c r="D211" i="11"/>
  <c r="D197" i="11"/>
  <c r="D178" i="11"/>
  <c r="D179" i="11"/>
  <c r="D180" i="11"/>
  <c r="D181" i="11"/>
  <c r="D182" i="11"/>
  <c r="D183" i="11"/>
  <c r="D184" i="11"/>
  <c r="D185" i="11"/>
  <c r="D186" i="11"/>
  <c r="D187" i="11"/>
  <c r="D188" i="11"/>
  <c r="D189" i="11"/>
  <c r="D190" i="11"/>
  <c r="D191" i="11"/>
  <c r="D177" i="11"/>
  <c r="E177" i="11" s="1"/>
  <c r="E40" i="3"/>
  <c r="F40" i="3" s="1"/>
  <c r="E39" i="3"/>
  <c r="F39" i="3" s="1"/>
  <c r="E38" i="3"/>
  <c r="F38" i="3" s="1"/>
  <c r="E37" i="3"/>
  <c r="F37" i="3" s="1"/>
  <c r="E36" i="3"/>
  <c r="F36" i="3" s="1"/>
  <c r="E35" i="3"/>
  <c r="F35" i="3" s="1"/>
  <c r="E34" i="3"/>
  <c r="F34" i="3" s="1"/>
  <c r="E33" i="3"/>
  <c r="F33" i="3" s="1"/>
  <c r="E32" i="3"/>
  <c r="F32" i="3" s="1"/>
  <c r="E31" i="3"/>
  <c r="F31" i="3" s="1"/>
  <c r="C40" i="3"/>
  <c r="D40" i="3" s="1"/>
  <c r="C39" i="3"/>
  <c r="D39" i="3" s="1"/>
  <c r="C38" i="3"/>
  <c r="D38" i="3" s="1"/>
  <c r="C36" i="3"/>
  <c r="D36" i="3" s="1"/>
  <c r="C35" i="3"/>
  <c r="D35" i="3" s="1"/>
  <c r="C34" i="3"/>
  <c r="D34" i="3" s="1"/>
  <c r="C33" i="3"/>
  <c r="D33" i="3" s="1"/>
  <c r="C32" i="3"/>
  <c r="D32" i="3" s="1"/>
  <c r="C31" i="3"/>
  <c r="D31" i="3" s="1"/>
  <c r="C37" i="3"/>
  <c r="D37" i="3" s="1"/>
  <c r="B6" i="3" l="1"/>
  <c r="B7" i="3"/>
  <c r="D212" i="11"/>
  <c r="F17" i="56" l="1"/>
  <c r="F18" i="56"/>
  <c r="F19" i="56"/>
  <c r="F16" i="56"/>
  <c r="F15" i="56"/>
  <c r="F14" i="56"/>
  <c r="F13" i="56"/>
  <c r="F12" i="56"/>
  <c r="F11" i="56"/>
  <c r="F10" i="56"/>
  <c r="F9" i="56"/>
  <c r="F8" i="56"/>
  <c r="F20" i="56" s="1"/>
  <c r="B4" i="56" s="1"/>
  <c r="C44" i="13"/>
  <c r="C45" i="13"/>
  <c r="C43" i="13"/>
  <c r="C41" i="46"/>
  <c r="E33" i="46"/>
  <c r="F33" i="46" s="1"/>
  <c r="E34" i="46"/>
  <c r="F34" i="46" s="1"/>
  <c r="C43" i="46"/>
  <c r="C42" i="46"/>
  <c r="D86" i="2"/>
  <c r="D85" i="2"/>
  <c r="D84" i="2"/>
  <c r="C77" i="2"/>
  <c r="C76" i="2"/>
  <c r="C75" i="2"/>
  <c r="C30" i="2"/>
  <c r="B68" i="2"/>
  <c r="B63" i="2"/>
  <c r="B6" i="2" s="1"/>
  <c r="C55" i="2"/>
  <c r="C54" i="2"/>
  <c r="E47" i="2"/>
  <c r="E46" i="2"/>
  <c r="E45" i="2"/>
  <c r="F45" i="2" s="1"/>
  <c r="F47" i="2"/>
  <c r="B5" i="2" l="1"/>
  <c r="C46" i="13"/>
  <c r="B6" i="46"/>
  <c r="B7" i="2"/>
  <c r="C31" i="2" l="1"/>
  <c r="C32" i="2"/>
  <c r="C33" i="2"/>
  <c r="C34" i="2"/>
  <c r="C35" i="2"/>
  <c r="C36" i="2"/>
  <c r="C37" i="2"/>
  <c r="C38" i="2"/>
  <c r="C16" i="2"/>
  <c r="E673" i="44"/>
  <c r="E674" i="44"/>
  <c r="E672" i="44"/>
  <c r="B673" i="44"/>
  <c r="B674" i="44"/>
  <c r="B672" i="44"/>
  <c r="C23" i="2" s="1"/>
  <c r="D23" i="2" s="1"/>
  <c r="I12" i="49"/>
  <c r="J12" i="49" s="1"/>
  <c r="F18" i="32"/>
  <c r="E19" i="32"/>
  <c r="E20" i="32"/>
  <c r="E21" i="32"/>
  <c r="N70" i="8"/>
  <c r="O70" i="8" s="1"/>
  <c r="K70" i="8"/>
  <c r="L70" i="8" s="1"/>
  <c r="H70" i="8"/>
  <c r="I70" i="8" s="1"/>
  <c r="F70" i="8"/>
  <c r="C70" i="8"/>
  <c r="D70" i="8" s="1"/>
  <c r="O69" i="8"/>
  <c r="N69" i="8"/>
  <c r="K69" i="8"/>
  <c r="L69" i="8" s="1"/>
  <c r="I69" i="8"/>
  <c r="H69" i="8"/>
  <c r="F69" i="8"/>
  <c r="D69" i="8"/>
  <c r="C69" i="8"/>
  <c r="N68" i="8"/>
  <c r="O68" i="8" s="1"/>
  <c r="K68" i="8"/>
  <c r="L68" i="8" s="1"/>
  <c r="H68" i="8"/>
  <c r="I68" i="8" s="1"/>
  <c r="F68" i="8"/>
  <c r="C68" i="8"/>
  <c r="D68" i="8" s="1"/>
  <c r="N67" i="8"/>
  <c r="O67" i="8" s="1"/>
  <c r="K67" i="8"/>
  <c r="L67" i="8" s="1"/>
  <c r="H67" i="8"/>
  <c r="I67" i="8" s="1"/>
  <c r="F67" i="8"/>
  <c r="C67" i="8"/>
  <c r="D67" i="8" s="1"/>
  <c r="O66" i="8"/>
  <c r="N66" i="8"/>
  <c r="K66" i="8"/>
  <c r="L66" i="8" s="1"/>
  <c r="I66" i="8"/>
  <c r="H66" i="8"/>
  <c r="F66" i="8"/>
  <c r="D66" i="8"/>
  <c r="C66" i="8"/>
  <c r="N65" i="8"/>
  <c r="O65" i="8" s="1"/>
  <c r="K65" i="8"/>
  <c r="L65" i="8" s="1"/>
  <c r="H65" i="8"/>
  <c r="I65" i="8" s="1"/>
  <c r="F65" i="8"/>
  <c r="C65" i="8"/>
  <c r="D65" i="8" s="1"/>
  <c r="N64" i="8"/>
  <c r="O64" i="8" s="1"/>
  <c r="K64" i="8"/>
  <c r="L64" i="8" s="1"/>
  <c r="H64" i="8"/>
  <c r="I64" i="8" s="1"/>
  <c r="F64" i="8"/>
  <c r="C64" i="8"/>
  <c r="D64" i="8" s="1"/>
  <c r="O63" i="8"/>
  <c r="N63" i="8"/>
  <c r="K63" i="8"/>
  <c r="L63" i="8" s="1"/>
  <c r="I63" i="8"/>
  <c r="H63" i="8"/>
  <c r="F63" i="8"/>
  <c r="D63" i="8"/>
  <c r="C63" i="8"/>
  <c r="N62" i="8"/>
  <c r="O62" i="8" s="1"/>
  <c r="K62" i="8"/>
  <c r="L62" i="8" s="1"/>
  <c r="H62" i="8"/>
  <c r="I62" i="8" s="1"/>
  <c r="F62" i="8"/>
  <c r="C62" i="8"/>
  <c r="D62" i="8" s="1"/>
  <c r="N61" i="8"/>
  <c r="O61" i="8" s="1"/>
  <c r="K61" i="8"/>
  <c r="L61" i="8" s="1"/>
  <c r="H61" i="8"/>
  <c r="I61" i="8" s="1"/>
  <c r="F61" i="8"/>
  <c r="C61" i="8"/>
  <c r="D61" i="8" s="1"/>
  <c r="O60" i="8"/>
  <c r="N60" i="8"/>
  <c r="K60" i="8"/>
  <c r="L60" i="8" s="1"/>
  <c r="I60" i="8"/>
  <c r="H60" i="8"/>
  <c r="F60" i="8"/>
  <c r="D60" i="8"/>
  <c r="C60" i="8"/>
  <c r="N59" i="8"/>
  <c r="O59" i="8" s="1"/>
  <c r="K59" i="8"/>
  <c r="L59" i="8" s="1"/>
  <c r="H59" i="8"/>
  <c r="I59" i="8" s="1"/>
  <c r="F59" i="8"/>
  <c r="C59" i="8"/>
  <c r="D59" i="8" s="1"/>
  <c r="N58" i="8"/>
  <c r="O58" i="8" s="1"/>
  <c r="K58" i="8"/>
  <c r="L58" i="8" s="1"/>
  <c r="H58" i="8"/>
  <c r="I58" i="8" s="1"/>
  <c r="F58" i="8"/>
  <c r="C58" i="8"/>
  <c r="D58" i="8" s="1"/>
  <c r="O57" i="8"/>
  <c r="N57" i="8"/>
  <c r="K57" i="8"/>
  <c r="L57" i="8" s="1"/>
  <c r="I57" i="8"/>
  <c r="H57" i="8"/>
  <c r="F57" i="8"/>
  <c r="D57" i="8"/>
  <c r="C57" i="8"/>
  <c r="N56" i="8"/>
  <c r="O56" i="8" s="1"/>
  <c r="K56" i="8"/>
  <c r="L56" i="8" s="1"/>
  <c r="H56" i="8"/>
  <c r="I56" i="8" s="1"/>
  <c r="F56" i="8"/>
  <c r="C56" i="8"/>
  <c r="D56" i="8" s="1"/>
  <c r="N55" i="8"/>
  <c r="O55" i="8" s="1"/>
  <c r="K55" i="8"/>
  <c r="L55" i="8" s="1"/>
  <c r="H55" i="8"/>
  <c r="I55" i="8" s="1"/>
  <c r="F55" i="8"/>
  <c r="C55" i="8"/>
  <c r="D55" i="8" s="1"/>
  <c r="O54" i="8"/>
  <c r="N54" i="8"/>
  <c r="K54" i="8"/>
  <c r="L54" i="8" s="1"/>
  <c r="I54" i="8"/>
  <c r="H54" i="8"/>
  <c r="F54" i="8"/>
  <c r="D54" i="8"/>
  <c r="C54" i="8"/>
  <c r="N53" i="8"/>
  <c r="O53" i="8" s="1"/>
  <c r="K53" i="8"/>
  <c r="L53" i="8" s="1"/>
  <c r="H53" i="8"/>
  <c r="I53" i="8" s="1"/>
  <c r="F53" i="8"/>
  <c r="C53" i="8"/>
  <c r="D53" i="8" s="1"/>
  <c r="N52" i="8"/>
  <c r="O52" i="8" s="1"/>
  <c r="K52" i="8"/>
  <c r="L52" i="8" s="1"/>
  <c r="H52" i="8"/>
  <c r="I52" i="8" s="1"/>
  <c r="F52" i="8"/>
  <c r="C52" i="8"/>
  <c r="D52" i="8" s="1"/>
  <c r="O51" i="8"/>
  <c r="N51" i="8"/>
  <c r="K51" i="8"/>
  <c r="L51" i="8" s="1"/>
  <c r="I51" i="8"/>
  <c r="H51" i="8"/>
  <c r="F51" i="8"/>
  <c r="D51" i="8"/>
  <c r="C51" i="8"/>
  <c r="N50" i="8"/>
  <c r="O50" i="8" s="1"/>
  <c r="K50" i="8"/>
  <c r="L50" i="8" s="1"/>
  <c r="H50" i="8"/>
  <c r="I50" i="8" s="1"/>
  <c r="F50" i="8"/>
  <c r="C50" i="8"/>
  <c r="D50" i="8" s="1"/>
  <c r="N49" i="8"/>
  <c r="O49" i="8" s="1"/>
  <c r="K49" i="8"/>
  <c r="L49" i="8" s="1"/>
  <c r="H49" i="8"/>
  <c r="I49" i="8" s="1"/>
  <c r="F49" i="8"/>
  <c r="C49" i="8"/>
  <c r="D49" i="8" s="1"/>
  <c r="O48" i="8"/>
  <c r="N48" i="8"/>
  <c r="K48" i="8"/>
  <c r="L48" i="8" s="1"/>
  <c r="I48" i="8"/>
  <c r="H48" i="8"/>
  <c r="F48" i="8"/>
  <c r="D48" i="8"/>
  <c r="C48" i="8"/>
  <c r="N47" i="8"/>
  <c r="O47" i="8" s="1"/>
  <c r="K47" i="8"/>
  <c r="L47" i="8" s="1"/>
  <c r="H47" i="8"/>
  <c r="I47" i="8" s="1"/>
  <c r="F47" i="8"/>
  <c r="C47" i="8"/>
  <c r="D47" i="8" s="1"/>
  <c r="N46" i="8"/>
  <c r="O46" i="8" s="1"/>
  <c r="K46" i="8"/>
  <c r="L46" i="8" s="1"/>
  <c r="H46" i="8"/>
  <c r="I46" i="8" s="1"/>
  <c r="F46" i="8"/>
  <c r="C46" i="8"/>
  <c r="D46" i="8" s="1"/>
  <c r="O45" i="8"/>
  <c r="N45" i="8"/>
  <c r="K45" i="8"/>
  <c r="L45" i="8" s="1"/>
  <c r="I45" i="8"/>
  <c r="H45" i="8"/>
  <c r="F45" i="8"/>
  <c r="D45" i="8"/>
  <c r="C45" i="8"/>
  <c r="N44" i="8"/>
  <c r="O44" i="8" s="1"/>
  <c r="K44" i="8"/>
  <c r="L44" i="8" s="1"/>
  <c r="H44" i="8"/>
  <c r="I44" i="8" s="1"/>
  <c r="F44" i="8"/>
  <c r="C44" i="8"/>
  <c r="D44" i="8" s="1"/>
  <c r="N43" i="8"/>
  <c r="O43" i="8" s="1"/>
  <c r="K43" i="8"/>
  <c r="L43" i="8" s="1"/>
  <c r="H43" i="8"/>
  <c r="I43" i="8" s="1"/>
  <c r="F43" i="8"/>
  <c r="C43" i="8"/>
  <c r="D43" i="8" s="1"/>
  <c r="O42" i="8"/>
  <c r="N42" i="8"/>
  <c r="K42" i="8"/>
  <c r="L42" i="8" s="1"/>
  <c r="I42" i="8"/>
  <c r="H42" i="8"/>
  <c r="F42" i="8"/>
  <c r="D42" i="8"/>
  <c r="C42" i="8"/>
  <c r="N41" i="8"/>
  <c r="O41" i="8" s="1"/>
  <c r="K41" i="8"/>
  <c r="L41" i="8" s="1"/>
  <c r="H41" i="8"/>
  <c r="I41" i="8" s="1"/>
  <c r="F41" i="8"/>
  <c r="C41" i="8"/>
  <c r="D41" i="8" s="1"/>
  <c r="N40" i="8"/>
  <c r="O40" i="8" s="1"/>
  <c r="K40" i="8"/>
  <c r="L40" i="8" s="1"/>
  <c r="H40" i="8"/>
  <c r="I40" i="8" s="1"/>
  <c r="F40" i="8"/>
  <c r="C40" i="8"/>
  <c r="D40" i="8" s="1"/>
  <c r="O39" i="8"/>
  <c r="N39" i="8"/>
  <c r="K39" i="8"/>
  <c r="L39" i="8" s="1"/>
  <c r="I39" i="8"/>
  <c r="H39" i="8"/>
  <c r="F39" i="8"/>
  <c r="D39" i="8"/>
  <c r="C39" i="8"/>
  <c r="N38" i="8"/>
  <c r="O38" i="8" s="1"/>
  <c r="K38" i="8"/>
  <c r="L38" i="8" s="1"/>
  <c r="H38" i="8"/>
  <c r="I38" i="8" s="1"/>
  <c r="F38" i="8"/>
  <c r="D38" i="8"/>
  <c r="C38" i="8"/>
  <c r="N37" i="8"/>
  <c r="O37" i="8" s="1"/>
  <c r="K37" i="8"/>
  <c r="L37" i="8" s="1"/>
  <c r="H37" i="8"/>
  <c r="I37" i="8" s="1"/>
  <c r="F37" i="8"/>
  <c r="C37" i="8"/>
  <c r="D37" i="8" s="1"/>
  <c r="O36" i="8"/>
  <c r="N36" i="8"/>
  <c r="K36" i="8"/>
  <c r="L36" i="8" s="1"/>
  <c r="I36" i="8"/>
  <c r="H36" i="8"/>
  <c r="F36" i="8"/>
  <c r="D36" i="8"/>
  <c r="C36" i="8"/>
  <c r="N35" i="8"/>
  <c r="O35" i="8" s="1"/>
  <c r="K35" i="8"/>
  <c r="L35" i="8" s="1"/>
  <c r="H35" i="8"/>
  <c r="I35" i="8" s="1"/>
  <c r="F35" i="8"/>
  <c r="D35" i="8"/>
  <c r="C35" i="8"/>
  <c r="O49" i="9"/>
  <c r="O58" i="9"/>
  <c r="O67"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40" i="9"/>
  <c r="C27" i="8"/>
  <c r="E27" i="8" s="1"/>
  <c r="C26" i="8"/>
  <c r="E26" i="8" s="1"/>
  <c r="C25" i="8"/>
  <c r="E25" i="8" s="1"/>
  <c r="C24" i="8"/>
  <c r="E24" i="8" s="1"/>
  <c r="C23" i="8"/>
  <c r="E23" i="8" s="1"/>
  <c r="C22" i="8"/>
  <c r="E22" i="8" s="1"/>
  <c r="C21" i="8"/>
  <c r="E21" i="8" s="1"/>
  <c r="C20" i="8"/>
  <c r="E20" i="8" s="1"/>
  <c r="C19" i="8"/>
  <c r="E19" i="8" s="1"/>
  <c r="C18" i="8"/>
  <c r="E18" i="8" s="1"/>
  <c r="C17" i="8"/>
  <c r="E17" i="8" s="1"/>
  <c r="C16" i="8"/>
  <c r="E16" i="8" s="1"/>
  <c r="C15" i="8"/>
  <c r="E15" i="8" s="1"/>
  <c r="C14" i="8"/>
  <c r="E14" i="8" s="1"/>
  <c r="C13" i="8"/>
  <c r="E13" i="8" s="1"/>
  <c r="C12" i="8"/>
  <c r="E12" i="8" s="1"/>
  <c r="B4" i="8" s="1"/>
  <c r="N75" i="9"/>
  <c r="O75" i="9" s="1"/>
  <c r="K75" i="9"/>
  <c r="L75" i="9" s="1"/>
  <c r="H75" i="9"/>
  <c r="I75" i="9" s="1"/>
  <c r="C75" i="9"/>
  <c r="D75" i="9" s="1"/>
  <c r="N74" i="9"/>
  <c r="O74" i="9" s="1"/>
  <c r="K74" i="9"/>
  <c r="L74" i="9" s="1"/>
  <c r="H74" i="9"/>
  <c r="I74" i="9" s="1"/>
  <c r="C74" i="9"/>
  <c r="D74" i="9" s="1"/>
  <c r="N73" i="9"/>
  <c r="O73" i="9" s="1"/>
  <c r="K73" i="9"/>
  <c r="L73" i="9" s="1"/>
  <c r="H73" i="9"/>
  <c r="I73" i="9" s="1"/>
  <c r="C73" i="9"/>
  <c r="D73" i="9" s="1"/>
  <c r="N72" i="9"/>
  <c r="O72" i="9" s="1"/>
  <c r="K72" i="9"/>
  <c r="L72" i="9" s="1"/>
  <c r="H72" i="9"/>
  <c r="I72" i="9" s="1"/>
  <c r="C72" i="9"/>
  <c r="D72" i="9" s="1"/>
  <c r="N71" i="9"/>
  <c r="O71" i="9" s="1"/>
  <c r="K71" i="9"/>
  <c r="L71" i="9" s="1"/>
  <c r="H71" i="9"/>
  <c r="I71" i="9" s="1"/>
  <c r="C71" i="9"/>
  <c r="D71" i="9" s="1"/>
  <c r="N70" i="9"/>
  <c r="O70" i="9" s="1"/>
  <c r="K70" i="9"/>
  <c r="L70" i="9" s="1"/>
  <c r="H70" i="9"/>
  <c r="I70" i="9" s="1"/>
  <c r="C70" i="9"/>
  <c r="D70" i="9" s="1"/>
  <c r="N69" i="9"/>
  <c r="O69" i="9" s="1"/>
  <c r="K69" i="9"/>
  <c r="L69" i="9" s="1"/>
  <c r="H69" i="9"/>
  <c r="I69" i="9" s="1"/>
  <c r="C69" i="9"/>
  <c r="D69" i="9" s="1"/>
  <c r="N68" i="9"/>
  <c r="O68" i="9" s="1"/>
  <c r="K68" i="9"/>
  <c r="L68" i="9" s="1"/>
  <c r="H68" i="9"/>
  <c r="I68" i="9" s="1"/>
  <c r="C68" i="9"/>
  <c r="D68" i="9" s="1"/>
  <c r="N67" i="9"/>
  <c r="K67" i="9"/>
  <c r="L67" i="9" s="1"/>
  <c r="H67" i="9"/>
  <c r="I67" i="9" s="1"/>
  <c r="C67" i="9"/>
  <c r="D67" i="9" s="1"/>
  <c r="N66" i="9"/>
  <c r="O66" i="9" s="1"/>
  <c r="K66" i="9"/>
  <c r="L66" i="9" s="1"/>
  <c r="H66" i="9"/>
  <c r="I66" i="9" s="1"/>
  <c r="C66" i="9"/>
  <c r="D66" i="9" s="1"/>
  <c r="N65" i="9"/>
  <c r="O65" i="9" s="1"/>
  <c r="K65" i="9"/>
  <c r="L65" i="9" s="1"/>
  <c r="H65" i="9"/>
  <c r="I65" i="9" s="1"/>
  <c r="C65" i="9"/>
  <c r="D65" i="9" s="1"/>
  <c r="N64" i="9"/>
  <c r="O64" i="9" s="1"/>
  <c r="K64" i="9"/>
  <c r="L64" i="9" s="1"/>
  <c r="H64" i="9"/>
  <c r="I64" i="9" s="1"/>
  <c r="C64" i="9"/>
  <c r="D64" i="9" s="1"/>
  <c r="N63" i="9"/>
  <c r="O63" i="9" s="1"/>
  <c r="K63" i="9"/>
  <c r="L63" i="9" s="1"/>
  <c r="H63" i="9"/>
  <c r="I63" i="9" s="1"/>
  <c r="C63" i="9"/>
  <c r="D63" i="9" s="1"/>
  <c r="N62" i="9"/>
  <c r="O62" i="9" s="1"/>
  <c r="K62" i="9"/>
  <c r="L62" i="9" s="1"/>
  <c r="H62" i="9"/>
  <c r="I62" i="9" s="1"/>
  <c r="C62" i="9"/>
  <c r="D62" i="9" s="1"/>
  <c r="N61" i="9"/>
  <c r="O61" i="9" s="1"/>
  <c r="K61" i="9"/>
  <c r="L61" i="9" s="1"/>
  <c r="H61" i="9"/>
  <c r="I61" i="9" s="1"/>
  <c r="C61" i="9"/>
  <c r="D61" i="9" s="1"/>
  <c r="N60" i="9"/>
  <c r="O60" i="9" s="1"/>
  <c r="K60" i="9"/>
  <c r="L60" i="9" s="1"/>
  <c r="H60" i="9"/>
  <c r="I60" i="9" s="1"/>
  <c r="C60" i="9"/>
  <c r="D60" i="9" s="1"/>
  <c r="N59" i="9"/>
  <c r="O59" i="9" s="1"/>
  <c r="K59" i="9"/>
  <c r="L59" i="9" s="1"/>
  <c r="H59" i="9"/>
  <c r="I59" i="9" s="1"/>
  <c r="C59" i="9"/>
  <c r="D59" i="9" s="1"/>
  <c r="N58" i="9"/>
  <c r="K58" i="9"/>
  <c r="L58" i="9" s="1"/>
  <c r="H58" i="9"/>
  <c r="I58" i="9" s="1"/>
  <c r="C58" i="9"/>
  <c r="D58" i="9" s="1"/>
  <c r="N57" i="9"/>
  <c r="O57" i="9" s="1"/>
  <c r="K57" i="9"/>
  <c r="L57" i="9" s="1"/>
  <c r="H57" i="9"/>
  <c r="I57" i="9" s="1"/>
  <c r="C57" i="9"/>
  <c r="D57" i="9" s="1"/>
  <c r="N56" i="9"/>
  <c r="O56" i="9" s="1"/>
  <c r="K56" i="9"/>
  <c r="L56" i="9" s="1"/>
  <c r="H56" i="9"/>
  <c r="I56" i="9" s="1"/>
  <c r="C56" i="9"/>
  <c r="D56" i="9" s="1"/>
  <c r="N55" i="9"/>
  <c r="O55" i="9" s="1"/>
  <c r="K55" i="9"/>
  <c r="L55" i="9" s="1"/>
  <c r="H55" i="9"/>
  <c r="I55" i="9" s="1"/>
  <c r="C55" i="9"/>
  <c r="D55" i="9" s="1"/>
  <c r="N54" i="9"/>
  <c r="O54" i="9" s="1"/>
  <c r="K54" i="9"/>
  <c r="L54" i="9" s="1"/>
  <c r="H54" i="9"/>
  <c r="I54" i="9" s="1"/>
  <c r="C54" i="9"/>
  <c r="D54" i="9" s="1"/>
  <c r="N53" i="9"/>
  <c r="O53" i="9" s="1"/>
  <c r="K53" i="9"/>
  <c r="L53" i="9" s="1"/>
  <c r="H53" i="9"/>
  <c r="I53" i="9" s="1"/>
  <c r="C53" i="9"/>
  <c r="D53" i="9" s="1"/>
  <c r="N52" i="9"/>
  <c r="O52" i="9" s="1"/>
  <c r="K52" i="9"/>
  <c r="L52" i="9" s="1"/>
  <c r="H52" i="9"/>
  <c r="I52" i="9" s="1"/>
  <c r="C52" i="9"/>
  <c r="D52" i="9" s="1"/>
  <c r="N51" i="9"/>
  <c r="O51" i="9" s="1"/>
  <c r="K51" i="9"/>
  <c r="L51" i="9" s="1"/>
  <c r="H51" i="9"/>
  <c r="I51" i="9" s="1"/>
  <c r="C51" i="9"/>
  <c r="D51" i="9" s="1"/>
  <c r="N50" i="9"/>
  <c r="O50" i="9" s="1"/>
  <c r="K50" i="9"/>
  <c r="L50" i="9" s="1"/>
  <c r="H50" i="9"/>
  <c r="I50" i="9" s="1"/>
  <c r="C50" i="9"/>
  <c r="D50" i="9" s="1"/>
  <c r="N49" i="9"/>
  <c r="K49" i="9"/>
  <c r="L49" i="9" s="1"/>
  <c r="H49" i="9"/>
  <c r="I49" i="9" s="1"/>
  <c r="C49" i="9"/>
  <c r="D49" i="9" s="1"/>
  <c r="N48" i="9"/>
  <c r="O48" i="9" s="1"/>
  <c r="K48" i="9"/>
  <c r="L48" i="9" s="1"/>
  <c r="H48" i="9"/>
  <c r="I48" i="9" s="1"/>
  <c r="C48" i="9"/>
  <c r="D48" i="9" s="1"/>
  <c r="N47" i="9"/>
  <c r="O47" i="9" s="1"/>
  <c r="K47" i="9"/>
  <c r="L47" i="9" s="1"/>
  <c r="H47" i="9"/>
  <c r="I47" i="9" s="1"/>
  <c r="C47" i="9"/>
  <c r="D47" i="9" s="1"/>
  <c r="N46" i="9"/>
  <c r="O46" i="9" s="1"/>
  <c r="K46" i="9"/>
  <c r="L46" i="9" s="1"/>
  <c r="H46" i="9"/>
  <c r="I46" i="9" s="1"/>
  <c r="C46" i="9"/>
  <c r="D46" i="9" s="1"/>
  <c r="N45" i="9"/>
  <c r="O45" i="9" s="1"/>
  <c r="K45" i="9"/>
  <c r="L45" i="9" s="1"/>
  <c r="H45" i="9"/>
  <c r="I45" i="9" s="1"/>
  <c r="C45" i="9"/>
  <c r="D45" i="9" s="1"/>
  <c r="N44" i="9"/>
  <c r="O44" i="9" s="1"/>
  <c r="K44" i="9"/>
  <c r="L44" i="9" s="1"/>
  <c r="H44" i="9"/>
  <c r="I44" i="9" s="1"/>
  <c r="C44" i="9"/>
  <c r="D44" i="9" s="1"/>
  <c r="N43" i="9"/>
  <c r="O43" i="9" s="1"/>
  <c r="K43" i="9"/>
  <c r="L43" i="9" s="1"/>
  <c r="H43" i="9"/>
  <c r="I43" i="9" s="1"/>
  <c r="C43" i="9"/>
  <c r="D43" i="9" s="1"/>
  <c r="N42" i="9"/>
  <c r="O42" i="9" s="1"/>
  <c r="K42" i="9"/>
  <c r="L42" i="9" s="1"/>
  <c r="H42" i="9"/>
  <c r="I42" i="9" s="1"/>
  <c r="C42" i="9"/>
  <c r="D42" i="9" s="1"/>
  <c r="N41" i="9"/>
  <c r="O41" i="9" s="1"/>
  <c r="K41" i="9"/>
  <c r="L41" i="9" s="1"/>
  <c r="H41" i="9"/>
  <c r="I41" i="9" s="1"/>
  <c r="C41" i="9"/>
  <c r="D41" i="9" s="1"/>
  <c r="N40" i="9"/>
  <c r="O40" i="9" s="1"/>
  <c r="K40" i="9"/>
  <c r="L40" i="9" s="1"/>
  <c r="H40" i="9"/>
  <c r="I40" i="9" s="1"/>
  <c r="C40" i="9"/>
  <c r="D40" i="9" s="1"/>
  <c r="I252" i="10"/>
  <c r="I253" i="10"/>
  <c r="I254" i="10"/>
  <c r="I255" i="10"/>
  <c r="I256" i="10"/>
  <c r="I257" i="10"/>
  <c r="I258" i="10"/>
  <c r="I259" i="10"/>
  <c r="I260" i="10"/>
  <c r="I251" i="10"/>
  <c r="D252" i="10"/>
  <c r="D253" i="10"/>
  <c r="D254" i="10"/>
  <c r="D255" i="10"/>
  <c r="D256" i="10"/>
  <c r="D257" i="10"/>
  <c r="D258" i="10"/>
  <c r="D259" i="10"/>
  <c r="D260" i="10"/>
  <c r="D251" i="10"/>
  <c r="H251" i="10"/>
  <c r="F252" i="10"/>
  <c r="F253" i="10"/>
  <c r="F254" i="10"/>
  <c r="F255" i="10"/>
  <c r="F256" i="10"/>
  <c r="F257" i="10"/>
  <c r="F258" i="10"/>
  <c r="F259" i="10"/>
  <c r="F260" i="10"/>
  <c r="F251" i="10"/>
  <c r="D245" i="10"/>
  <c r="F245" i="10" s="1"/>
  <c r="D244" i="10"/>
  <c r="E244" i="10" s="1"/>
  <c r="D243" i="10"/>
  <c r="G243" i="10" s="1"/>
  <c r="D242" i="10"/>
  <c r="F242" i="10" s="1"/>
  <c r="D241" i="10"/>
  <c r="G241" i="10" s="1"/>
  <c r="D240" i="10"/>
  <c r="G240" i="10" s="1"/>
  <c r="D239" i="10"/>
  <c r="F239" i="10" s="1"/>
  <c r="D238" i="10"/>
  <c r="G238" i="10" s="1"/>
  <c r="D237" i="10"/>
  <c r="G237" i="10" s="1"/>
  <c r="D236" i="10"/>
  <c r="F236" i="10" s="1"/>
  <c r="D230" i="10"/>
  <c r="F230" i="10" s="1"/>
  <c r="D229" i="10"/>
  <c r="G229" i="10" s="1"/>
  <c r="D228" i="10"/>
  <c r="G228" i="10" s="1"/>
  <c r="D227" i="10"/>
  <c r="F227" i="10" s="1"/>
  <c r="D226" i="10"/>
  <c r="E226" i="10" s="1"/>
  <c r="D225" i="10"/>
  <c r="G225" i="10" s="1"/>
  <c r="D224" i="10"/>
  <c r="F224" i="10" s="1"/>
  <c r="D223" i="10"/>
  <c r="E223" i="10" s="1"/>
  <c r="D222" i="10"/>
  <c r="G222" i="10" s="1"/>
  <c r="D221" i="10"/>
  <c r="F221" i="10" s="1"/>
  <c r="D220" i="10"/>
  <c r="E220" i="10" s="1"/>
  <c r="D214" i="10"/>
  <c r="E214" i="10" s="1"/>
  <c r="D213" i="10"/>
  <c r="G213" i="10" s="1"/>
  <c r="D212" i="10"/>
  <c r="F212" i="10" s="1"/>
  <c r="D211" i="10"/>
  <c r="E211" i="10" s="1"/>
  <c r="D210" i="10"/>
  <c r="G210" i="10" s="1"/>
  <c r="D209" i="10"/>
  <c r="F209" i="10" s="1"/>
  <c r="D208" i="10"/>
  <c r="E208" i="10" s="1"/>
  <c r="D207" i="10"/>
  <c r="G207" i="10" s="1"/>
  <c r="D206" i="10"/>
  <c r="F206" i="10" s="1"/>
  <c r="D205" i="10"/>
  <c r="E205" i="10" s="1"/>
  <c r="D199" i="10"/>
  <c r="E199" i="10" s="1"/>
  <c r="F198" i="10"/>
  <c r="D198" i="10"/>
  <c r="G198" i="10" s="1"/>
  <c r="D197" i="10"/>
  <c r="F197" i="10" s="1"/>
  <c r="D196" i="10"/>
  <c r="E196" i="10" s="1"/>
  <c r="D195" i="10"/>
  <c r="G195" i="10" s="1"/>
  <c r="D194" i="10"/>
  <c r="F194" i="10" s="1"/>
  <c r="D193" i="10"/>
  <c r="E193" i="10" s="1"/>
  <c r="D192" i="10"/>
  <c r="G192" i="10" s="1"/>
  <c r="D191" i="10"/>
  <c r="F191" i="10" s="1"/>
  <c r="D190" i="10"/>
  <c r="E190" i="10" s="1"/>
  <c r="D182" i="10"/>
  <c r="F182" i="10" s="1"/>
  <c r="D181" i="10"/>
  <c r="E181" i="10" s="1"/>
  <c r="D180" i="10"/>
  <c r="G180" i="10" s="1"/>
  <c r="D179" i="10"/>
  <c r="F179" i="10" s="1"/>
  <c r="D178" i="10"/>
  <c r="E178" i="10" s="1"/>
  <c r="D177" i="10"/>
  <c r="G177" i="10" s="1"/>
  <c r="D176" i="10"/>
  <c r="F176" i="10" s="1"/>
  <c r="D175" i="10"/>
  <c r="E175" i="10" s="1"/>
  <c r="D174" i="10"/>
  <c r="G174" i="10" s="1"/>
  <c r="D173" i="10"/>
  <c r="F173" i="10" s="1"/>
  <c r="D167" i="10"/>
  <c r="F167" i="10" s="1"/>
  <c r="D166" i="10"/>
  <c r="G166" i="10" s="1"/>
  <c r="D165" i="10"/>
  <c r="G165" i="10" s="1"/>
  <c r="D164" i="10"/>
  <c r="F164" i="10" s="1"/>
  <c r="D163" i="10"/>
  <c r="G163" i="10" s="1"/>
  <c r="D162" i="10"/>
  <c r="G162" i="10" s="1"/>
  <c r="D161" i="10"/>
  <c r="F161" i="10" s="1"/>
  <c r="D160" i="10"/>
  <c r="E160" i="10" s="1"/>
  <c r="D159" i="10"/>
  <c r="G159" i="10" s="1"/>
  <c r="D158" i="10"/>
  <c r="F158" i="10" s="1"/>
  <c r="D157" i="10"/>
  <c r="E157" i="10" s="1"/>
  <c r="D151" i="10"/>
  <c r="E151" i="10" s="1"/>
  <c r="D150" i="10"/>
  <c r="G150" i="10" s="1"/>
  <c r="D149" i="10"/>
  <c r="F149" i="10" s="1"/>
  <c r="D148" i="10"/>
  <c r="E148" i="10" s="1"/>
  <c r="D147" i="10"/>
  <c r="G147" i="10" s="1"/>
  <c r="D146" i="10"/>
  <c r="F146" i="10" s="1"/>
  <c r="D145" i="10"/>
  <c r="E145" i="10" s="1"/>
  <c r="D144" i="10"/>
  <c r="G144" i="10" s="1"/>
  <c r="D143" i="10"/>
  <c r="F143" i="10" s="1"/>
  <c r="D142" i="10"/>
  <c r="E142" i="10" s="1"/>
  <c r="D136" i="10"/>
  <c r="E136" i="10" s="1"/>
  <c r="D135" i="10"/>
  <c r="G135" i="10" s="1"/>
  <c r="D134" i="10"/>
  <c r="F134" i="10" s="1"/>
  <c r="D133" i="10"/>
  <c r="E133" i="10" s="1"/>
  <c r="D132" i="10"/>
  <c r="G132" i="10" s="1"/>
  <c r="D131" i="10"/>
  <c r="F131" i="10" s="1"/>
  <c r="D130" i="10"/>
  <c r="G130" i="10" s="1"/>
  <c r="D129" i="10"/>
  <c r="G129" i="10" s="1"/>
  <c r="D128" i="10"/>
  <c r="F128" i="10" s="1"/>
  <c r="D127" i="10"/>
  <c r="E127" i="10" s="1"/>
  <c r="G23" i="2" l="1"/>
  <c r="F23" i="2"/>
  <c r="E23" i="2"/>
  <c r="I71" i="8"/>
  <c r="L76" i="9"/>
  <c r="O76" i="9"/>
  <c r="D71" i="8"/>
  <c r="B5" i="8" s="1"/>
  <c r="O71" i="8"/>
  <c r="F71" i="8"/>
  <c r="B6" i="8" s="1"/>
  <c r="I76" i="9"/>
  <c r="L71" i="8"/>
  <c r="B7" i="8" s="1"/>
  <c r="F76" i="9"/>
  <c r="B7" i="9" s="1"/>
  <c r="F20" i="32" s="1"/>
  <c r="D76" i="9"/>
  <c r="B6" i="9" s="1"/>
  <c r="F19" i="32" s="1"/>
  <c r="I261" i="10"/>
  <c r="F195" i="10"/>
  <c r="F213" i="10"/>
  <c r="F192" i="10"/>
  <c r="F207" i="10"/>
  <c r="E229" i="10"/>
  <c r="F210" i="10"/>
  <c r="F190" i="10"/>
  <c r="E192" i="10"/>
  <c r="F193" i="10"/>
  <c r="E195" i="10"/>
  <c r="F196" i="10"/>
  <c r="E198" i="10"/>
  <c r="H198" i="10" s="1"/>
  <c r="F199" i="10"/>
  <c r="E213" i="10"/>
  <c r="F214" i="10"/>
  <c r="F229" i="10"/>
  <c r="H213" i="10"/>
  <c r="F220" i="10"/>
  <c r="E222" i="10"/>
  <c r="F223" i="10"/>
  <c r="E225" i="10"/>
  <c r="F226" i="10"/>
  <c r="E228" i="10"/>
  <c r="E238" i="10"/>
  <c r="E241" i="10"/>
  <c r="F244" i="10"/>
  <c r="F144" i="10"/>
  <c r="F157" i="10"/>
  <c r="F205" i="10"/>
  <c r="E207" i="10"/>
  <c r="F208" i="10"/>
  <c r="E210" i="10"/>
  <c r="F211" i="10"/>
  <c r="F222" i="10"/>
  <c r="F225" i="10"/>
  <c r="E237" i="10"/>
  <c r="F238" i="10"/>
  <c r="E240" i="10"/>
  <c r="F241" i="10"/>
  <c r="E243" i="10"/>
  <c r="G191" i="10"/>
  <c r="G197" i="10"/>
  <c r="G206" i="10"/>
  <c r="G221" i="10"/>
  <c r="G224" i="10"/>
  <c r="G227" i="10"/>
  <c r="G230" i="10"/>
  <c r="G236" i="10"/>
  <c r="G190" i="10"/>
  <c r="H190" i="10" s="1"/>
  <c r="E191" i="10"/>
  <c r="G193" i="10"/>
  <c r="E194" i="10"/>
  <c r="G196" i="10"/>
  <c r="E197" i="10"/>
  <c r="G199" i="10"/>
  <c r="H199" i="10" s="1"/>
  <c r="G205" i="10"/>
  <c r="E206" i="10"/>
  <c r="G208" i="10"/>
  <c r="E209" i="10"/>
  <c r="G211" i="10"/>
  <c r="E212" i="10"/>
  <c r="G214" i="10"/>
  <c r="G220" i="10"/>
  <c r="E221" i="10"/>
  <c r="G223" i="10"/>
  <c r="E224" i="10"/>
  <c r="G226" i="10"/>
  <c r="H226" i="10" s="1"/>
  <c r="E227" i="10"/>
  <c r="F228" i="10"/>
  <c r="E230" i="10"/>
  <c r="E236" i="10"/>
  <c r="F237" i="10"/>
  <c r="E239" i="10"/>
  <c r="F240" i="10"/>
  <c r="H240" i="10" s="1"/>
  <c r="E242" i="10"/>
  <c r="F243" i="10"/>
  <c r="H243" i="10" s="1"/>
  <c r="G244" i="10"/>
  <c r="E245" i="10"/>
  <c r="G194" i="10"/>
  <c r="H194" i="10" s="1"/>
  <c r="G209" i="10"/>
  <c r="H209" i="10" s="1"/>
  <c r="G212" i="10"/>
  <c r="G239" i="10"/>
  <c r="G242" i="10"/>
  <c r="G245" i="10"/>
  <c r="H245" i="10" s="1"/>
  <c r="F130" i="10"/>
  <c r="E132" i="10"/>
  <c r="F127" i="10"/>
  <c r="E129" i="10"/>
  <c r="E130" i="10"/>
  <c r="F133" i="10"/>
  <c r="E135" i="10"/>
  <c r="F142" i="10"/>
  <c r="E144" i="10"/>
  <c r="F145" i="10"/>
  <c r="E147" i="10"/>
  <c r="E159" i="10"/>
  <c r="F136" i="10"/>
  <c r="F151" i="10"/>
  <c r="E163" i="10"/>
  <c r="E166" i="10"/>
  <c r="E174" i="10"/>
  <c r="F175" i="10"/>
  <c r="E177" i="10"/>
  <c r="F178" i="10"/>
  <c r="E180" i="10"/>
  <c r="F181" i="10"/>
  <c r="F111" i="10"/>
  <c r="F148" i="10"/>
  <c r="E150" i="10"/>
  <c r="F160" i="10"/>
  <c r="E162" i="10"/>
  <c r="F163" i="10"/>
  <c r="E165" i="10"/>
  <c r="F166" i="10"/>
  <c r="G173" i="10"/>
  <c r="F174" i="10"/>
  <c r="F177" i="10"/>
  <c r="F180" i="10"/>
  <c r="G128" i="10"/>
  <c r="G131" i="10"/>
  <c r="G134" i="10"/>
  <c r="G158" i="10"/>
  <c r="G161" i="10"/>
  <c r="G164" i="10"/>
  <c r="G176" i="10"/>
  <c r="G179" i="10"/>
  <c r="G182" i="10"/>
  <c r="G127" i="10"/>
  <c r="E128" i="10"/>
  <c r="F129" i="10"/>
  <c r="H129" i="10" s="1"/>
  <c r="E131" i="10"/>
  <c r="F132" i="10"/>
  <c r="G133" i="10"/>
  <c r="E134" i="10"/>
  <c r="F135" i="10"/>
  <c r="G136" i="10"/>
  <c r="H136" i="10" s="1"/>
  <c r="G142" i="10"/>
  <c r="E143" i="10"/>
  <c r="G145" i="10"/>
  <c r="E146" i="10"/>
  <c r="F147" i="10"/>
  <c r="G148" i="10"/>
  <c r="E149" i="10"/>
  <c r="F150" i="10"/>
  <c r="G151" i="10"/>
  <c r="G157" i="10"/>
  <c r="E158" i="10"/>
  <c r="F159" i="10"/>
  <c r="G160" i="10"/>
  <c r="E161" i="10"/>
  <c r="F162" i="10"/>
  <c r="E164" i="10"/>
  <c r="F165" i="10"/>
  <c r="E167" i="10"/>
  <c r="E173" i="10"/>
  <c r="G175" i="10"/>
  <c r="E176" i="10"/>
  <c r="G178" i="10"/>
  <c r="E179" i="10"/>
  <c r="G181" i="10"/>
  <c r="H181" i="10" s="1"/>
  <c r="E182" i="10"/>
  <c r="G143" i="10"/>
  <c r="H143" i="10" s="1"/>
  <c r="G146" i="10"/>
  <c r="G149" i="10"/>
  <c r="H149" i="10" s="1"/>
  <c r="G167" i="10"/>
  <c r="F120" i="10"/>
  <c r="F119" i="10"/>
  <c r="F118" i="10"/>
  <c r="F117" i="10"/>
  <c r="F116" i="10"/>
  <c r="F115" i="10"/>
  <c r="F114" i="10"/>
  <c r="F113" i="10"/>
  <c r="F112" i="10"/>
  <c r="H239" i="10" l="1"/>
  <c r="H23" i="2"/>
  <c r="B8" i="9"/>
  <c r="F21" i="32" s="1"/>
  <c r="H195" i="10"/>
  <c r="H241" i="10"/>
  <c r="H207" i="10"/>
  <c r="H192" i="10"/>
  <c r="H146" i="10"/>
  <c r="H151" i="10"/>
  <c r="H238" i="10"/>
  <c r="H228" i="10"/>
  <c r="H144" i="10"/>
  <c r="H193" i="10"/>
  <c r="H214" i="10"/>
  <c r="H225" i="10"/>
  <c r="H210" i="10"/>
  <c r="H244" i="10"/>
  <c r="H223" i="10"/>
  <c r="H196" i="10"/>
  <c r="H229" i="10"/>
  <c r="H162" i="10"/>
  <c r="H159" i="10"/>
  <c r="H148" i="10"/>
  <c r="H133" i="10"/>
  <c r="H182" i="10"/>
  <c r="H164" i="10"/>
  <c r="H134" i="10"/>
  <c r="H180" i="10"/>
  <c r="H163" i="10"/>
  <c r="H222" i="10"/>
  <c r="H135" i="10"/>
  <c r="H130" i="10"/>
  <c r="H205" i="10"/>
  <c r="H147" i="10"/>
  <c r="H132" i="10"/>
  <c r="H166" i="10"/>
  <c r="H208" i="10"/>
  <c r="H157" i="10"/>
  <c r="H142" i="10"/>
  <c r="H212" i="10"/>
  <c r="H237" i="10"/>
  <c r="H220" i="10"/>
  <c r="H211" i="10"/>
  <c r="H236" i="10"/>
  <c r="H224" i="10"/>
  <c r="H197" i="10"/>
  <c r="H242" i="10"/>
  <c r="H230" i="10"/>
  <c r="H221" i="10"/>
  <c r="H191" i="10"/>
  <c r="H227" i="10"/>
  <c r="H206" i="10"/>
  <c r="H150" i="10"/>
  <c r="H127" i="10"/>
  <c r="H174" i="10"/>
  <c r="H177" i="10"/>
  <c r="H145" i="10"/>
  <c r="H175" i="10"/>
  <c r="H165" i="10"/>
  <c r="H178" i="10"/>
  <c r="H173" i="10"/>
  <c r="H160" i="10"/>
  <c r="H167" i="10"/>
  <c r="H179" i="10"/>
  <c r="H161" i="10"/>
  <c r="H131" i="10"/>
  <c r="H176" i="10"/>
  <c r="H158" i="10"/>
  <c r="H128" i="10"/>
  <c r="F121" i="10"/>
  <c r="B7" i="10" s="1"/>
  <c r="F17" i="32" l="1"/>
  <c r="H215" i="10"/>
  <c r="H200" i="10"/>
  <c r="H246" i="10"/>
  <c r="H231" i="10"/>
  <c r="H152" i="10"/>
  <c r="H168" i="10"/>
  <c r="H183" i="10"/>
  <c r="H137" i="10"/>
  <c r="B9" i="10" l="1"/>
  <c r="B8" i="10"/>
  <c r="D64" i="10" l="1"/>
  <c r="E64" i="10" s="1"/>
  <c r="F64" i="10" l="1"/>
  <c r="G64" i="10"/>
  <c r="C758" i="11" l="1"/>
  <c r="D758" i="11" s="1"/>
  <c r="C757" i="11"/>
  <c r="D757" i="11" s="1"/>
  <c r="I757" i="11" s="1"/>
  <c r="C756" i="11"/>
  <c r="D756" i="11" s="1"/>
  <c r="C755" i="11"/>
  <c r="D755" i="11" s="1"/>
  <c r="I755" i="11" s="1"/>
  <c r="C754" i="11"/>
  <c r="D754" i="11" s="1"/>
  <c r="C753" i="11"/>
  <c r="D753" i="11" s="1"/>
  <c r="E753" i="11" s="1"/>
  <c r="C752" i="11"/>
  <c r="D752" i="11" s="1"/>
  <c r="I752" i="11" s="1"/>
  <c r="C751" i="11"/>
  <c r="D751" i="11" s="1"/>
  <c r="G751" i="11" s="1"/>
  <c r="C750" i="11"/>
  <c r="D750" i="11" s="1"/>
  <c r="E750" i="11" s="1"/>
  <c r="C749" i="11"/>
  <c r="D749" i="11" s="1"/>
  <c r="I749" i="11" s="1"/>
  <c r="C743" i="11"/>
  <c r="D743" i="11" s="1"/>
  <c r="I743" i="11" s="1"/>
  <c r="C742" i="11"/>
  <c r="D742" i="11" s="1"/>
  <c r="G742" i="11" s="1"/>
  <c r="C741" i="11"/>
  <c r="D741" i="11" s="1"/>
  <c r="E741" i="11" s="1"/>
  <c r="C740" i="11"/>
  <c r="D740" i="11" s="1"/>
  <c r="I740" i="11" s="1"/>
  <c r="C739" i="11"/>
  <c r="D739" i="11" s="1"/>
  <c r="C738" i="11"/>
  <c r="D738" i="11" s="1"/>
  <c r="E738" i="11" s="1"/>
  <c r="C737" i="11"/>
  <c r="D737" i="11" s="1"/>
  <c r="I737" i="11" s="1"/>
  <c r="C736" i="11"/>
  <c r="D736" i="11" s="1"/>
  <c r="G736" i="11" s="1"/>
  <c r="C735" i="11"/>
  <c r="D735" i="11" s="1"/>
  <c r="E735" i="11" s="1"/>
  <c r="C734" i="11"/>
  <c r="D734" i="11" s="1"/>
  <c r="I734" i="11" s="1"/>
  <c r="C727" i="11"/>
  <c r="D727" i="11" s="1"/>
  <c r="C726" i="11"/>
  <c r="D726" i="11" s="1"/>
  <c r="I726" i="11" s="1"/>
  <c r="C725" i="11"/>
  <c r="D725" i="11" s="1"/>
  <c r="C724" i="11"/>
  <c r="D724" i="11" s="1"/>
  <c r="C723" i="11"/>
  <c r="D723" i="11" s="1"/>
  <c r="I723" i="11" s="1"/>
  <c r="C722" i="11"/>
  <c r="D722" i="11" s="1"/>
  <c r="C721" i="11"/>
  <c r="D721" i="11" s="1"/>
  <c r="C720" i="11"/>
  <c r="D720" i="11" s="1"/>
  <c r="I720" i="11" s="1"/>
  <c r="C719" i="11"/>
  <c r="D719" i="11" s="1"/>
  <c r="C718" i="11"/>
  <c r="D718" i="11" s="1"/>
  <c r="C713" i="11"/>
  <c r="D713" i="11" s="1"/>
  <c r="C712" i="11"/>
  <c r="D712" i="11" s="1"/>
  <c r="I712" i="11" s="1"/>
  <c r="C711" i="11"/>
  <c r="D711" i="11" s="1"/>
  <c r="C710" i="11"/>
  <c r="D710" i="11" s="1"/>
  <c r="C709" i="11"/>
  <c r="D709" i="11" s="1"/>
  <c r="I709" i="11" s="1"/>
  <c r="C708" i="11"/>
  <c r="D708" i="11" s="1"/>
  <c r="C707" i="11"/>
  <c r="D707" i="11" s="1"/>
  <c r="C706" i="11"/>
  <c r="D706" i="11" s="1"/>
  <c r="I706" i="11" s="1"/>
  <c r="C705" i="11"/>
  <c r="D705" i="11" s="1"/>
  <c r="C704" i="11"/>
  <c r="D704" i="11" s="1"/>
  <c r="C666" i="11"/>
  <c r="D666" i="11" s="1"/>
  <c r="C665" i="11"/>
  <c r="D665" i="11" s="1"/>
  <c r="C664" i="11"/>
  <c r="D664" i="11" s="1"/>
  <c r="I664" i="11" s="1"/>
  <c r="C663" i="11"/>
  <c r="D663" i="11" s="1"/>
  <c r="E663" i="11" s="1"/>
  <c r="C662" i="11"/>
  <c r="D662" i="11" s="1"/>
  <c r="C661" i="11"/>
  <c r="D661" i="11" s="1"/>
  <c r="I661" i="11" s="1"/>
  <c r="C660" i="11"/>
  <c r="D660" i="11" s="1"/>
  <c r="E660" i="11" s="1"/>
  <c r="C659" i="11"/>
  <c r="D659" i="11" s="1"/>
  <c r="C658" i="11"/>
  <c r="D658" i="11" s="1"/>
  <c r="I658" i="11" s="1"/>
  <c r="C657" i="11"/>
  <c r="D657" i="11" s="1"/>
  <c r="E657" i="11" s="1"/>
  <c r="C652" i="11"/>
  <c r="D652" i="11" s="1"/>
  <c r="E652" i="11" s="1"/>
  <c r="C651" i="11"/>
  <c r="D651" i="11" s="1"/>
  <c r="C650" i="11"/>
  <c r="D650" i="11" s="1"/>
  <c r="I650" i="11" s="1"/>
  <c r="C649" i="11"/>
  <c r="D649" i="11" s="1"/>
  <c r="E649" i="11" s="1"/>
  <c r="C648" i="11"/>
  <c r="D648" i="11" s="1"/>
  <c r="C647" i="11"/>
  <c r="D647" i="11" s="1"/>
  <c r="I647" i="11" s="1"/>
  <c r="C646" i="11"/>
  <c r="D646" i="11" s="1"/>
  <c r="E646" i="11" s="1"/>
  <c r="C645" i="11"/>
  <c r="D645" i="11" s="1"/>
  <c r="C644" i="11"/>
  <c r="D644" i="11" s="1"/>
  <c r="I644" i="11" s="1"/>
  <c r="C643" i="11"/>
  <c r="D643" i="11" s="1"/>
  <c r="E643" i="11" s="1"/>
  <c r="C605" i="11"/>
  <c r="D605" i="11" s="1"/>
  <c r="E605" i="11" s="1"/>
  <c r="J605" i="11" s="1"/>
  <c r="C604" i="11"/>
  <c r="D604" i="11" s="1"/>
  <c r="E604" i="11" s="1"/>
  <c r="C603" i="11"/>
  <c r="D603" i="11" s="1"/>
  <c r="E603" i="11" s="1"/>
  <c r="J603" i="11" s="1"/>
  <c r="C602" i="11"/>
  <c r="D602" i="11" s="1"/>
  <c r="E602" i="11" s="1"/>
  <c r="J602" i="11" s="1"/>
  <c r="C601" i="11"/>
  <c r="D601" i="11" s="1"/>
  <c r="E601" i="11" s="1"/>
  <c r="J601" i="11" s="1"/>
  <c r="C600" i="11"/>
  <c r="D600" i="11" s="1"/>
  <c r="E600" i="11" s="1"/>
  <c r="J600" i="11" s="1"/>
  <c r="C599" i="11"/>
  <c r="D599" i="11" s="1"/>
  <c r="E599" i="11" s="1"/>
  <c r="J599" i="11" s="1"/>
  <c r="C598" i="11"/>
  <c r="D598" i="11" s="1"/>
  <c r="E598" i="11" s="1"/>
  <c r="J598" i="11" s="1"/>
  <c r="C597" i="11"/>
  <c r="D597" i="11" s="1"/>
  <c r="E597" i="11" s="1"/>
  <c r="J597" i="11" s="1"/>
  <c r="C596" i="11"/>
  <c r="D596" i="11" s="1"/>
  <c r="E596" i="11" s="1"/>
  <c r="J596" i="11" s="1"/>
  <c r="C591" i="11"/>
  <c r="D591" i="11" s="1"/>
  <c r="C590" i="11"/>
  <c r="D590" i="11" s="1"/>
  <c r="I590" i="11" s="1"/>
  <c r="C589" i="11"/>
  <c r="D589" i="11" s="1"/>
  <c r="I589" i="11" s="1"/>
  <c r="C588" i="11"/>
  <c r="D588" i="11" s="1"/>
  <c r="C587" i="11"/>
  <c r="D587" i="11" s="1"/>
  <c r="I587" i="11" s="1"/>
  <c r="C586" i="11"/>
  <c r="D586" i="11" s="1"/>
  <c r="I586" i="11" s="1"/>
  <c r="C585" i="11"/>
  <c r="D585" i="11" s="1"/>
  <c r="C584" i="11"/>
  <c r="D584" i="11" s="1"/>
  <c r="I584" i="11" s="1"/>
  <c r="C583" i="11"/>
  <c r="D583" i="11" s="1"/>
  <c r="C582" i="11"/>
  <c r="D582" i="11" s="1"/>
  <c r="C108" i="12"/>
  <c r="C170" i="12"/>
  <c r="C564" i="11"/>
  <c r="D564" i="11" s="1"/>
  <c r="C563" i="11"/>
  <c r="D563" i="11" s="1"/>
  <c r="C562" i="11"/>
  <c r="D562" i="11" s="1"/>
  <c r="C561" i="11"/>
  <c r="D561" i="11" s="1"/>
  <c r="C560" i="11"/>
  <c r="D560" i="11" s="1"/>
  <c r="C559" i="11"/>
  <c r="D559" i="11" s="1"/>
  <c r="C558" i="11"/>
  <c r="D558" i="11" s="1"/>
  <c r="C557" i="11"/>
  <c r="D557" i="11" s="1"/>
  <c r="C556" i="11"/>
  <c r="D556" i="11" s="1"/>
  <c r="C555" i="11"/>
  <c r="D555" i="11" s="1"/>
  <c r="C550" i="11"/>
  <c r="D550" i="11" s="1"/>
  <c r="C549" i="11"/>
  <c r="D549" i="11" s="1"/>
  <c r="C548" i="11"/>
  <c r="D548" i="11" s="1"/>
  <c r="C547" i="11"/>
  <c r="D547" i="11" s="1"/>
  <c r="C546" i="11"/>
  <c r="D546" i="11" s="1"/>
  <c r="C545" i="11"/>
  <c r="D545" i="11" s="1"/>
  <c r="C544" i="11"/>
  <c r="D544" i="11" s="1"/>
  <c r="C543" i="11"/>
  <c r="D543" i="11" s="1"/>
  <c r="C542" i="11"/>
  <c r="D542" i="11" s="1"/>
  <c r="C541" i="11"/>
  <c r="D541" i="11" s="1"/>
  <c r="C534" i="11"/>
  <c r="C533" i="11"/>
  <c r="D533" i="11" s="1"/>
  <c r="C532" i="11"/>
  <c r="C531" i="11"/>
  <c r="C530" i="11"/>
  <c r="D530" i="11" s="1"/>
  <c r="C529" i="11"/>
  <c r="C528" i="11"/>
  <c r="C527" i="11"/>
  <c r="D527" i="11" s="1"/>
  <c r="C526" i="11"/>
  <c r="C525" i="11"/>
  <c r="C519" i="11"/>
  <c r="D519" i="11" s="1"/>
  <c r="C518" i="11"/>
  <c r="D518" i="11" s="1"/>
  <c r="C517" i="11"/>
  <c r="D517" i="11" s="1"/>
  <c r="C516" i="11"/>
  <c r="D516" i="11" s="1"/>
  <c r="C515" i="11"/>
  <c r="D515" i="11" s="1"/>
  <c r="C514" i="11"/>
  <c r="D514" i="11" s="1"/>
  <c r="C513" i="11"/>
  <c r="D513" i="11" s="1"/>
  <c r="C512" i="11"/>
  <c r="D512" i="11" s="1"/>
  <c r="C511" i="11"/>
  <c r="D511" i="11" s="1"/>
  <c r="C510" i="11"/>
  <c r="D510" i="11" s="1"/>
  <c r="C503" i="11"/>
  <c r="D503" i="11" s="1"/>
  <c r="F503" i="11" s="1"/>
  <c r="C502" i="11"/>
  <c r="D502" i="11" s="1"/>
  <c r="C501" i="11"/>
  <c r="D501" i="11" s="1"/>
  <c r="E501" i="11" s="1"/>
  <c r="C500" i="11"/>
  <c r="D500" i="11" s="1"/>
  <c r="F500" i="11" s="1"/>
  <c r="C499" i="11"/>
  <c r="D499" i="11" s="1"/>
  <c r="C498" i="11"/>
  <c r="D498" i="11" s="1"/>
  <c r="C497" i="11"/>
  <c r="D497" i="11" s="1"/>
  <c r="F497" i="11" s="1"/>
  <c r="C496" i="11"/>
  <c r="D496" i="11" s="1"/>
  <c r="C495" i="11"/>
  <c r="D495" i="11" s="1"/>
  <c r="C494" i="11"/>
  <c r="D494" i="11" s="1"/>
  <c r="G487" i="11"/>
  <c r="C487" i="11"/>
  <c r="G486" i="11"/>
  <c r="C486" i="11"/>
  <c r="D486" i="11" s="1"/>
  <c r="E486" i="11" s="1"/>
  <c r="G485" i="11"/>
  <c r="C485" i="11"/>
  <c r="D485" i="11" s="1"/>
  <c r="E485" i="11" s="1"/>
  <c r="G484" i="11"/>
  <c r="C484" i="11"/>
  <c r="D484" i="11" s="1"/>
  <c r="E484" i="11" s="1"/>
  <c r="G483" i="11"/>
  <c r="C483" i="11"/>
  <c r="D483" i="11" s="1"/>
  <c r="E483" i="11" s="1"/>
  <c r="G482" i="11"/>
  <c r="C482" i="11"/>
  <c r="D482" i="11" s="1"/>
  <c r="E482" i="11" s="1"/>
  <c r="G481" i="11"/>
  <c r="C481" i="11"/>
  <c r="G480" i="11"/>
  <c r="C480" i="11"/>
  <c r="D480" i="11" s="1"/>
  <c r="E480" i="11" s="1"/>
  <c r="G479" i="11"/>
  <c r="C479" i="11"/>
  <c r="D479" i="11" s="1"/>
  <c r="E479" i="11" s="1"/>
  <c r="G478" i="11"/>
  <c r="E478" i="11"/>
  <c r="D478" i="11"/>
  <c r="C478" i="11"/>
  <c r="C472" i="11"/>
  <c r="F472" i="11" s="1"/>
  <c r="C471" i="11"/>
  <c r="C470" i="11"/>
  <c r="F470" i="11" s="1"/>
  <c r="C469" i="11"/>
  <c r="F469" i="11" s="1"/>
  <c r="C468" i="11"/>
  <c r="D468" i="11" s="1"/>
  <c r="C467" i="11"/>
  <c r="D467" i="11" s="1"/>
  <c r="C466" i="11"/>
  <c r="F466" i="11" s="1"/>
  <c r="C465" i="11"/>
  <c r="D465" i="11" s="1"/>
  <c r="C464" i="11"/>
  <c r="D464" i="11" s="1"/>
  <c r="C463" i="11"/>
  <c r="D445" i="11"/>
  <c r="E445" i="11" s="1"/>
  <c r="F445" i="11" s="1"/>
  <c r="D444" i="11"/>
  <c r="E444" i="11" s="1"/>
  <c r="F444" i="11" s="1"/>
  <c r="D443" i="11"/>
  <c r="E443" i="11" s="1"/>
  <c r="F443" i="11" s="1"/>
  <c r="D442" i="11"/>
  <c r="E442" i="11" s="1"/>
  <c r="F442" i="11" s="1"/>
  <c r="D441" i="11"/>
  <c r="E441" i="11" s="1"/>
  <c r="F441" i="11" s="1"/>
  <c r="D440" i="11"/>
  <c r="E440" i="11" s="1"/>
  <c r="F440" i="11" s="1"/>
  <c r="D439" i="11"/>
  <c r="E439" i="11" s="1"/>
  <c r="F439" i="11" s="1"/>
  <c r="D438" i="11"/>
  <c r="E438" i="11" s="1"/>
  <c r="F438" i="11" s="1"/>
  <c r="D435" i="11"/>
  <c r="E435" i="11" s="1"/>
  <c r="F435" i="11" s="1"/>
  <c r="D434" i="11"/>
  <c r="E434" i="11" s="1"/>
  <c r="F434" i="11" s="1"/>
  <c r="D433" i="11"/>
  <c r="E433" i="11" s="1"/>
  <c r="F433" i="11" s="1"/>
  <c r="D432" i="11"/>
  <c r="E432" i="11" s="1"/>
  <c r="F432" i="11" s="1"/>
  <c r="D431" i="11"/>
  <c r="E431" i="11" s="1"/>
  <c r="F431" i="11" s="1"/>
  <c r="D430" i="11"/>
  <c r="E430" i="11" s="1"/>
  <c r="F430" i="11" s="1"/>
  <c r="D429" i="11"/>
  <c r="E429" i="11" s="1"/>
  <c r="F429" i="11" s="1"/>
  <c r="D428" i="11"/>
  <c r="E428" i="11" s="1"/>
  <c r="F428" i="11" s="1"/>
  <c r="D425" i="11"/>
  <c r="E425" i="11" s="1"/>
  <c r="F425" i="11" s="1"/>
  <c r="D424" i="11"/>
  <c r="E424" i="11" s="1"/>
  <c r="F424" i="11" s="1"/>
  <c r="D423" i="11"/>
  <c r="E423" i="11" s="1"/>
  <c r="F423" i="11" s="1"/>
  <c r="D422" i="11"/>
  <c r="E422" i="11" s="1"/>
  <c r="F422" i="11" s="1"/>
  <c r="D421" i="11"/>
  <c r="E421" i="11" s="1"/>
  <c r="F421" i="11" s="1"/>
  <c r="D420" i="11"/>
  <c r="E420" i="11" s="1"/>
  <c r="F420" i="11" s="1"/>
  <c r="D419" i="11"/>
  <c r="E419" i="11" s="1"/>
  <c r="F419" i="11" s="1"/>
  <c r="D418" i="11"/>
  <c r="E418" i="11" s="1"/>
  <c r="F418" i="11" s="1"/>
  <c r="D415" i="11"/>
  <c r="E415" i="11" s="1"/>
  <c r="F415" i="11" s="1"/>
  <c r="D414" i="11"/>
  <c r="E414" i="11" s="1"/>
  <c r="F414" i="11" s="1"/>
  <c r="D413" i="11"/>
  <c r="E413" i="11" s="1"/>
  <c r="F413" i="11" s="1"/>
  <c r="D412" i="11"/>
  <c r="E412" i="11" s="1"/>
  <c r="F412" i="11" s="1"/>
  <c r="D411" i="11"/>
  <c r="E411" i="11" s="1"/>
  <c r="F411" i="11" s="1"/>
  <c r="D410" i="11"/>
  <c r="E410" i="11" s="1"/>
  <c r="F410" i="11" s="1"/>
  <c r="D409" i="11"/>
  <c r="E409" i="11" s="1"/>
  <c r="F409" i="11" s="1"/>
  <c r="D408" i="11"/>
  <c r="E408" i="11" s="1"/>
  <c r="F408" i="11" s="1"/>
  <c r="D405" i="11"/>
  <c r="E405" i="11" s="1"/>
  <c r="F405" i="11" s="1"/>
  <c r="D404" i="11"/>
  <c r="E404" i="11" s="1"/>
  <c r="F404" i="11" s="1"/>
  <c r="D403" i="11"/>
  <c r="E403" i="11" s="1"/>
  <c r="F403" i="11" s="1"/>
  <c r="D402" i="11"/>
  <c r="E402" i="11" s="1"/>
  <c r="F402" i="11" s="1"/>
  <c r="D401" i="11"/>
  <c r="E401" i="11" s="1"/>
  <c r="F401" i="11" s="1"/>
  <c r="D400" i="11"/>
  <c r="E400" i="11" s="1"/>
  <c r="F400" i="11" s="1"/>
  <c r="D399" i="11"/>
  <c r="E399" i="11" s="1"/>
  <c r="F399" i="11" s="1"/>
  <c r="D398" i="11"/>
  <c r="E398" i="11" s="1"/>
  <c r="F398" i="11" s="1"/>
  <c r="D395" i="11"/>
  <c r="E395" i="11" s="1"/>
  <c r="F395" i="11" s="1"/>
  <c r="D394" i="11"/>
  <c r="E394" i="11" s="1"/>
  <c r="F394" i="11" s="1"/>
  <c r="D393" i="11"/>
  <c r="E393" i="11" s="1"/>
  <c r="F393" i="11" s="1"/>
  <c r="D392" i="11"/>
  <c r="E392" i="11" s="1"/>
  <c r="F392" i="11" s="1"/>
  <c r="D391" i="11"/>
  <c r="E391" i="11" s="1"/>
  <c r="F391" i="11" s="1"/>
  <c r="D390" i="11"/>
  <c r="E390" i="11" s="1"/>
  <c r="F390" i="11" s="1"/>
  <c r="D389" i="11"/>
  <c r="E389" i="11" s="1"/>
  <c r="F389" i="11" s="1"/>
  <c r="D388" i="11"/>
  <c r="E388" i="11" s="1"/>
  <c r="F388" i="11" s="1"/>
  <c r="D306" i="11"/>
  <c r="E306" i="11" s="1"/>
  <c r="F306" i="11" s="1"/>
  <c r="D307" i="11"/>
  <c r="E307" i="11" s="1"/>
  <c r="F307" i="11" s="1"/>
  <c r="D308" i="11"/>
  <c r="E308" i="11" s="1"/>
  <c r="F308" i="11" s="1"/>
  <c r="D309" i="11"/>
  <c r="E309" i="11" s="1"/>
  <c r="F309" i="11" s="1"/>
  <c r="D310" i="11"/>
  <c r="E310" i="11" s="1"/>
  <c r="F310" i="11" s="1"/>
  <c r="D311" i="11"/>
  <c r="E311" i="11" s="1"/>
  <c r="F311" i="11" s="1"/>
  <c r="D312" i="11"/>
  <c r="E312" i="11" s="1"/>
  <c r="F312" i="11" s="1"/>
  <c r="D313" i="11"/>
  <c r="E313" i="11" s="1"/>
  <c r="F313" i="11" s="1"/>
  <c r="D316" i="11"/>
  <c r="E316" i="11" s="1"/>
  <c r="F316" i="11" s="1"/>
  <c r="D317" i="11"/>
  <c r="E317" i="11" s="1"/>
  <c r="F317" i="11" s="1"/>
  <c r="D318" i="11"/>
  <c r="E318" i="11" s="1"/>
  <c r="F318" i="11" s="1"/>
  <c r="D319" i="11"/>
  <c r="E319" i="11" s="1"/>
  <c r="F319" i="11" s="1"/>
  <c r="D320" i="11"/>
  <c r="E320" i="11" s="1"/>
  <c r="F320" i="11" s="1"/>
  <c r="D321" i="11"/>
  <c r="E321" i="11" s="1"/>
  <c r="F321" i="11" s="1"/>
  <c r="D322" i="11"/>
  <c r="E322" i="11" s="1"/>
  <c r="F322" i="11" s="1"/>
  <c r="D323" i="11"/>
  <c r="E323" i="11" s="1"/>
  <c r="F323" i="11" s="1"/>
  <c r="D326" i="11"/>
  <c r="E326" i="11" s="1"/>
  <c r="F326" i="11" s="1"/>
  <c r="D327" i="11"/>
  <c r="E327" i="11" s="1"/>
  <c r="F327" i="11" s="1"/>
  <c r="D328" i="11"/>
  <c r="E328" i="11" s="1"/>
  <c r="F328" i="11" s="1"/>
  <c r="D329" i="11"/>
  <c r="E329" i="11" s="1"/>
  <c r="F329" i="11" s="1"/>
  <c r="D330" i="11"/>
  <c r="E330" i="11" s="1"/>
  <c r="F330" i="11" s="1"/>
  <c r="D331" i="11"/>
  <c r="E331" i="11" s="1"/>
  <c r="F331" i="11" s="1"/>
  <c r="D332" i="11"/>
  <c r="E332" i="11" s="1"/>
  <c r="F332" i="11" s="1"/>
  <c r="D333" i="11"/>
  <c r="E333" i="11" s="1"/>
  <c r="F333" i="11" s="1"/>
  <c r="D336" i="11"/>
  <c r="E336" i="11" s="1"/>
  <c r="F336" i="11" s="1"/>
  <c r="D337" i="11"/>
  <c r="E337" i="11" s="1"/>
  <c r="F337" i="11" s="1"/>
  <c r="D338" i="11"/>
  <c r="E338" i="11" s="1"/>
  <c r="F338" i="11" s="1"/>
  <c r="D339" i="11"/>
  <c r="E339" i="11" s="1"/>
  <c r="F339" i="11" s="1"/>
  <c r="D340" i="11"/>
  <c r="E340" i="11" s="1"/>
  <c r="F340" i="11" s="1"/>
  <c r="D341" i="11"/>
  <c r="E341" i="11" s="1"/>
  <c r="F341" i="11" s="1"/>
  <c r="D342" i="11"/>
  <c r="E342" i="11" s="1"/>
  <c r="F342" i="11" s="1"/>
  <c r="D343" i="11"/>
  <c r="E343" i="11" s="1"/>
  <c r="F343" i="11" s="1"/>
  <c r="D346" i="11"/>
  <c r="E346" i="11" s="1"/>
  <c r="F346" i="11" s="1"/>
  <c r="D347" i="11"/>
  <c r="E347" i="11" s="1"/>
  <c r="F347" i="11" s="1"/>
  <c r="D348" i="11"/>
  <c r="E348" i="11" s="1"/>
  <c r="F348" i="11" s="1"/>
  <c r="D349" i="11"/>
  <c r="E349" i="11" s="1"/>
  <c r="F349" i="11" s="1"/>
  <c r="D350" i="11"/>
  <c r="E350" i="11" s="1"/>
  <c r="F350" i="11" s="1"/>
  <c r="D351" i="11"/>
  <c r="E351" i="11" s="1"/>
  <c r="F351" i="11" s="1"/>
  <c r="D352" i="11"/>
  <c r="E352" i="11" s="1"/>
  <c r="F352" i="11" s="1"/>
  <c r="D353" i="11"/>
  <c r="E353" i="11" s="1"/>
  <c r="F353" i="11" s="1"/>
  <c r="D356" i="11"/>
  <c r="E356" i="11" s="1"/>
  <c r="F356" i="11" s="1"/>
  <c r="D357" i="11"/>
  <c r="E357" i="11" s="1"/>
  <c r="F357" i="11" s="1"/>
  <c r="D358" i="11"/>
  <c r="E358" i="11" s="1"/>
  <c r="F358" i="11" s="1"/>
  <c r="D359" i="11"/>
  <c r="E359" i="11" s="1"/>
  <c r="F359" i="11" s="1"/>
  <c r="D360" i="11"/>
  <c r="E360" i="11" s="1"/>
  <c r="F360" i="11" s="1"/>
  <c r="D361" i="11"/>
  <c r="E361" i="11" s="1"/>
  <c r="F361" i="11" s="1"/>
  <c r="D362" i="11"/>
  <c r="E362" i="11" s="1"/>
  <c r="F362" i="11" s="1"/>
  <c r="D363" i="11"/>
  <c r="E363" i="11" s="1"/>
  <c r="F363" i="11" s="1"/>
  <c r="G369" i="11"/>
  <c r="H369" i="11"/>
  <c r="G370" i="11"/>
  <c r="H370" i="11"/>
  <c r="G371" i="11"/>
  <c r="H371" i="11"/>
  <c r="G372" i="11"/>
  <c r="H372" i="11"/>
  <c r="G373" i="11"/>
  <c r="H373" i="11"/>
  <c r="G374" i="11"/>
  <c r="H374" i="11"/>
  <c r="G375" i="11"/>
  <c r="H375" i="11"/>
  <c r="G376" i="11"/>
  <c r="H376" i="11"/>
  <c r="G377" i="11"/>
  <c r="H377" i="11"/>
  <c r="G378" i="11"/>
  <c r="H378" i="11"/>
  <c r="G379" i="11"/>
  <c r="H379" i="11"/>
  <c r="G380" i="11"/>
  <c r="H380" i="11"/>
  <c r="C369" i="11"/>
  <c r="D369" i="11" s="1"/>
  <c r="C370" i="11"/>
  <c r="D370" i="11" s="1"/>
  <c r="C371" i="11"/>
  <c r="D371" i="11" s="1"/>
  <c r="C372" i="11"/>
  <c r="D372" i="11" s="1"/>
  <c r="C373" i="11"/>
  <c r="D373" i="11" s="1"/>
  <c r="C374" i="11"/>
  <c r="D374" i="11" s="1"/>
  <c r="C375" i="11"/>
  <c r="D375" i="11" s="1"/>
  <c r="C124" i="11"/>
  <c r="D124" i="11" s="1"/>
  <c r="F109" i="11"/>
  <c r="F110" i="11"/>
  <c r="F111" i="11"/>
  <c r="F112" i="11"/>
  <c r="F113" i="11"/>
  <c r="F114" i="11"/>
  <c r="F115" i="11"/>
  <c r="F116" i="11"/>
  <c r="F117" i="11"/>
  <c r="F118" i="11"/>
  <c r="F108" i="11"/>
  <c r="G98" i="11"/>
  <c r="G97" i="11"/>
  <c r="G96" i="11"/>
  <c r="G95" i="11"/>
  <c r="C94" i="11" s="1"/>
  <c r="I77" i="11"/>
  <c r="I78" i="11"/>
  <c r="I79" i="11"/>
  <c r="I80" i="11"/>
  <c r="I81" i="11"/>
  <c r="I82" i="11"/>
  <c r="I83" i="11"/>
  <c r="I84" i="11"/>
  <c r="I76" i="11"/>
  <c r="F73" i="11"/>
  <c r="C68" i="6"/>
  <c r="C69" i="6"/>
  <c r="C70" i="6"/>
  <c r="B16" i="11" l="1"/>
  <c r="G512" i="11"/>
  <c r="E512" i="11"/>
  <c r="F512" i="11"/>
  <c r="G515" i="11"/>
  <c r="E515" i="11"/>
  <c r="F515" i="11"/>
  <c r="G518" i="11"/>
  <c r="E518" i="11"/>
  <c r="F518" i="11"/>
  <c r="F541" i="11"/>
  <c r="G541" i="11"/>
  <c r="F544" i="11"/>
  <c r="G544" i="11"/>
  <c r="E544" i="11"/>
  <c r="F547" i="11"/>
  <c r="G547" i="11"/>
  <c r="E547" i="11"/>
  <c r="F550" i="11"/>
  <c r="G550" i="11"/>
  <c r="E550" i="11"/>
  <c r="F557" i="11"/>
  <c r="E557" i="11"/>
  <c r="G557" i="11"/>
  <c r="F560" i="11"/>
  <c r="E560" i="11"/>
  <c r="G560" i="11"/>
  <c r="F563" i="11"/>
  <c r="E563" i="11"/>
  <c r="G563" i="11"/>
  <c r="F463" i="11"/>
  <c r="D463" i="11"/>
  <c r="E510" i="11"/>
  <c r="G510" i="11"/>
  <c r="F510" i="11"/>
  <c r="G513" i="11"/>
  <c r="F513" i="11"/>
  <c r="E513" i="11"/>
  <c r="G516" i="11"/>
  <c r="F516" i="11"/>
  <c r="E516" i="11"/>
  <c r="G519" i="11"/>
  <c r="F519" i="11"/>
  <c r="E519" i="11"/>
  <c r="E527" i="11"/>
  <c r="G527" i="11"/>
  <c r="F527" i="11"/>
  <c r="E530" i="11"/>
  <c r="G530" i="11"/>
  <c r="F530" i="11"/>
  <c r="E533" i="11"/>
  <c r="G533" i="11"/>
  <c r="F533" i="11"/>
  <c r="F542" i="11"/>
  <c r="G542" i="11"/>
  <c r="E542" i="11"/>
  <c r="F545" i="11"/>
  <c r="G545" i="11"/>
  <c r="E545" i="11"/>
  <c r="F548" i="11"/>
  <c r="G548" i="11"/>
  <c r="E548" i="11"/>
  <c r="I555" i="11"/>
  <c r="F555" i="11"/>
  <c r="E555" i="11"/>
  <c r="G555" i="11"/>
  <c r="F558" i="11"/>
  <c r="E558" i="11"/>
  <c r="G558" i="11"/>
  <c r="F561" i="11"/>
  <c r="E561" i="11"/>
  <c r="G561" i="11"/>
  <c r="I564" i="11"/>
  <c r="F564" i="11"/>
  <c r="E564" i="11"/>
  <c r="G564" i="11"/>
  <c r="G582" i="11"/>
  <c r="I582" i="11"/>
  <c r="G585" i="11"/>
  <c r="I585" i="11"/>
  <c r="G588" i="11"/>
  <c r="I588" i="11"/>
  <c r="G591" i="11"/>
  <c r="I591" i="11"/>
  <c r="F604" i="11"/>
  <c r="J604" i="11"/>
  <c r="G511" i="11"/>
  <c r="E511" i="11"/>
  <c r="F511" i="11"/>
  <c r="G514" i="11"/>
  <c r="E514" i="11"/>
  <c r="F514" i="11"/>
  <c r="G517" i="11"/>
  <c r="E517" i="11"/>
  <c r="F517" i="11"/>
  <c r="F543" i="11"/>
  <c r="G543" i="11"/>
  <c r="E543" i="11"/>
  <c r="F546" i="11"/>
  <c r="G546" i="11"/>
  <c r="E546" i="11"/>
  <c r="F549" i="11"/>
  <c r="G549" i="11"/>
  <c r="E549" i="11"/>
  <c r="F556" i="11"/>
  <c r="E556" i="11"/>
  <c r="G556" i="11"/>
  <c r="F559" i="11"/>
  <c r="E559" i="11"/>
  <c r="G559" i="11"/>
  <c r="F562" i="11"/>
  <c r="E562" i="11"/>
  <c r="G562" i="11"/>
  <c r="E583" i="11"/>
  <c r="I583" i="11"/>
  <c r="I657" i="11"/>
  <c r="I652" i="11"/>
  <c r="F749" i="11"/>
  <c r="F752" i="11"/>
  <c r="F755" i="11"/>
  <c r="I643" i="11"/>
  <c r="F734" i="11"/>
  <c r="F737" i="11"/>
  <c r="F740" i="11"/>
  <c r="F743" i="11"/>
  <c r="I739" i="11"/>
  <c r="F739" i="11"/>
  <c r="E739" i="11"/>
  <c r="I754" i="11"/>
  <c r="F754" i="11"/>
  <c r="E754" i="11"/>
  <c r="G739" i="11"/>
  <c r="G754" i="11"/>
  <c r="I736" i="11"/>
  <c r="F736" i="11"/>
  <c r="E736" i="11"/>
  <c r="I742" i="11"/>
  <c r="F742" i="11"/>
  <c r="E742" i="11"/>
  <c r="I751" i="11"/>
  <c r="F751" i="11"/>
  <c r="E751" i="11"/>
  <c r="E734" i="11"/>
  <c r="G734" i="11"/>
  <c r="G735" i="11"/>
  <c r="I735" i="11"/>
  <c r="F735" i="11"/>
  <c r="E737" i="11"/>
  <c r="G737" i="11"/>
  <c r="G738" i="11"/>
  <c r="I738" i="11"/>
  <c r="F738" i="11"/>
  <c r="E740" i="11"/>
  <c r="G740" i="11"/>
  <c r="G741" i="11"/>
  <c r="I741" i="11"/>
  <c r="F741" i="11"/>
  <c r="E743" i="11"/>
  <c r="G743" i="11"/>
  <c r="E749" i="11"/>
  <c r="G749" i="11"/>
  <c r="G750" i="11"/>
  <c r="I750" i="11"/>
  <c r="F750" i="11"/>
  <c r="E752" i="11"/>
  <c r="G752" i="11"/>
  <c r="G753" i="11"/>
  <c r="I753" i="11"/>
  <c r="F753" i="11"/>
  <c r="E755" i="11"/>
  <c r="G755" i="11"/>
  <c r="G756" i="11"/>
  <c r="F756" i="11"/>
  <c r="E756" i="11"/>
  <c r="I756" i="11"/>
  <c r="E758" i="11"/>
  <c r="G758" i="11"/>
  <c r="I758" i="11"/>
  <c r="F758" i="11"/>
  <c r="G757" i="11"/>
  <c r="E757" i="11"/>
  <c r="F757" i="11"/>
  <c r="I705" i="11"/>
  <c r="E705" i="11"/>
  <c r="F705" i="11" s="1"/>
  <c r="G705" i="11" s="1"/>
  <c r="I646" i="11"/>
  <c r="I663" i="11"/>
  <c r="E710" i="11"/>
  <c r="I710" i="11"/>
  <c r="E719" i="11"/>
  <c r="I719" i="11"/>
  <c r="E711" i="11"/>
  <c r="I711" i="11"/>
  <c r="E713" i="11"/>
  <c r="I713" i="11"/>
  <c r="I722" i="11"/>
  <c r="E722" i="11"/>
  <c r="E724" i="11"/>
  <c r="I724" i="11"/>
  <c r="E708" i="11"/>
  <c r="I708" i="11"/>
  <c r="E721" i="11"/>
  <c r="I721" i="11"/>
  <c r="E704" i="11"/>
  <c r="I704" i="11"/>
  <c r="E707" i="11"/>
  <c r="I707" i="11"/>
  <c r="E718" i="11"/>
  <c r="I718" i="11"/>
  <c r="E725" i="11"/>
  <c r="I725" i="11"/>
  <c r="E727" i="11"/>
  <c r="I727" i="11"/>
  <c r="E706" i="11"/>
  <c r="E709" i="11"/>
  <c r="E712" i="11"/>
  <c r="E720" i="11"/>
  <c r="E723" i="11"/>
  <c r="E726" i="11"/>
  <c r="I649" i="11"/>
  <c r="I660" i="11"/>
  <c r="E666" i="11"/>
  <c r="I666" i="11"/>
  <c r="F643" i="11"/>
  <c r="G643" i="11" s="1"/>
  <c r="E644" i="11"/>
  <c r="I645" i="11"/>
  <c r="E645" i="11"/>
  <c r="F646" i="11"/>
  <c r="G646" i="11" s="1"/>
  <c r="E647" i="11"/>
  <c r="I648" i="11"/>
  <c r="E648" i="11"/>
  <c r="F649" i="11"/>
  <c r="G649" i="11" s="1"/>
  <c r="E650" i="11"/>
  <c r="I651" i="11"/>
  <c r="E651" i="11"/>
  <c r="F652" i="11"/>
  <c r="G652" i="11" s="1"/>
  <c r="F657" i="11"/>
  <c r="G657" i="11" s="1"/>
  <c r="E658" i="11"/>
  <c r="I659" i="11"/>
  <c r="E659" i="11"/>
  <c r="F660" i="11"/>
  <c r="G660" i="11" s="1"/>
  <c r="E661" i="11"/>
  <c r="I662" i="11"/>
  <c r="E662" i="11"/>
  <c r="F663" i="11"/>
  <c r="G663" i="11" s="1"/>
  <c r="E664" i="11"/>
  <c r="I665" i="11"/>
  <c r="E665" i="11"/>
  <c r="G602" i="11"/>
  <c r="G597" i="11"/>
  <c r="F597" i="11"/>
  <c r="H597" i="11"/>
  <c r="G600" i="11"/>
  <c r="F600" i="11"/>
  <c r="H600" i="11"/>
  <c r="G587" i="11"/>
  <c r="F587" i="11"/>
  <c r="F596" i="11"/>
  <c r="H596" i="11"/>
  <c r="H598" i="11"/>
  <c r="G598" i="11"/>
  <c r="G603" i="11"/>
  <c r="F603" i="11"/>
  <c r="F605" i="11"/>
  <c r="H605" i="11"/>
  <c r="F582" i="11"/>
  <c r="F583" i="11"/>
  <c r="G584" i="11"/>
  <c r="F584" i="11"/>
  <c r="E586" i="11"/>
  <c r="G586" i="11"/>
  <c r="E589" i="11"/>
  <c r="G589" i="11"/>
  <c r="G590" i="11"/>
  <c r="F590" i="11"/>
  <c r="G596" i="11"/>
  <c r="F598" i="11"/>
  <c r="F599" i="11"/>
  <c r="H599" i="11"/>
  <c r="H601" i="11"/>
  <c r="G601" i="11"/>
  <c r="H603" i="11"/>
  <c r="G605" i="11"/>
  <c r="E582" i="11"/>
  <c r="G583" i="11"/>
  <c r="E584" i="11"/>
  <c r="F585" i="11"/>
  <c r="E585" i="11"/>
  <c r="F586" i="11"/>
  <c r="E587" i="11"/>
  <c r="F588" i="11"/>
  <c r="E588" i="11"/>
  <c r="F589" i="11"/>
  <c r="E590" i="11"/>
  <c r="F591" i="11"/>
  <c r="E591" i="11"/>
  <c r="G599" i="11"/>
  <c r="F601" i="11"/>
  <c r="F602" i="11"/>
  <c r="H602" i="11"/>
  <c r="H604" i="11"/>
  <c r="G604" i="11"/>
  <c r="I561" i="11"/>
  <c r="I542" i="11"/>
  <c r="F464" i="11"/>
  <c r="I547" i="11"/>
  <c r="I550" i="11"/>
  <c r="E541" i="11"/>
  <c r="I541" i="11"/>
  <c r="I544" i="11"/>
  <c r="I546" i="11"/>
  <c r="I545" i="11"/>
  <c r="I549" i="11"/>
  <c r="I562" i="11"/>
  <c r="I563" i="11"/>
  <c r="I556" i="11"/>
  <c r="I557" i="11"/>
  <c r="I543" i="11"/>
  <c r="I548" i="11"/>
  <c r="I558" i="11"/>
  <c r="I559" i="11"/>
  <c r="I560" i="11"/>
  <c r="I517" i="11"/>
  <c r="I511" i="11"/>
  <c r="I516" i="11"/>
  <c r="I513" i="11"/>
  <c r="I514" i="11"/>
  <c r="I518" i="11"/>
  <c r="D525" i="11"/>
  <c r="D526" i="11"/>
  <c r="I515" i="11"/>
  <c r="I510" i="11"/>
  <c r="I512" i="11"/>
  <c r="I519" i="11"/>
  <c r="I527" i="11"/>
  <c r="D528" i="11"/>
  <c r="I530" i="11"/>
  <c r="D531" i="11"/>
  <c r="I533" i="11"/>
  <c r="D534" i="11"/>
  <c r="D529" i="11"/>
  <c r="D532" i="11"/>
  <c r="F467" i="11"/>
  <c r="D470" i="11"/>
  <c r="D487" i="11"/>
  <c r="E487" i="11" s="1"/>
  <c r="G488" i="11"/>
  <c r="D481" i="11"/>
  <c r="E481" i="11" s="1"/>
  <c r="F484" i="11"/>
  <c r="H471" i="11"/>
  <c r="E471" i="11"/>
  <c r="E494" i="11"/>
  <c r="G494" i="11"/>
  <c r="G495" i="11"/>
  <c r="I495" i="11"/>
  <c r="F495" i="11"/>
  <c r="G498" i="11"/>
  <c r="I498" i="11"/>
  <c r="F498" i="11"/>
  <c r="H463" i="11"/>
  <c r="E463" i="11"/>
  <c r="H466" i="11"/>
  <c r="E466" i="11"/>
  <c r="H469" i="11"/>
  <c r="E469" i="11"/>
  <c r="D471" i="11"/>
  <c r="H472" i="11"/>
  <c r="E472" i="11"/>
  <c r="F480" i="11"/>
  <c r="F483" i="11"/>
  <c r="F486" i="11"/>
  <c r="F494" i="11"/>
  <c r="E495" i="11"/>
  <c r="I496" i="11"/>
  <c r="F496" i="11"/>
  <c r="E496" i="11"/>
  <c r="E498" i="11"/>
  <c r="I499" i="11"/>
  <c r="F499" i="11"/>
  <c r="E499" i="11"/>
  <c r="I502" i="11"/>
  <c r="F502" i="11"/>
  <c r="E502" i="11"/>
  <c r="H465" i="11"/>
  <c r="E465" i="11"/>
  <c r="H468" i="11"/>
  <c r="E468" i="11"/>
  <c r="E497" i="11"/>
  <c r="G497" i="11"/>
  <c r="E500" i="11"/>
  <c r="G500" i="11"/>
  <c r="G501" i="11"/>
  <c r="I501" i="11"/>
  <c r="F501" i="11"/>
  <c r="E503" i="11"/>
  <c r="G503" i="11"/>
  <c r="H464" i="11"/>
  <c r="E464" i="11"/>
  <c r="F465" i="11"/>
  <c r="D466" i="11"/>
  <c r="H467" i="11"/>
  <c r="E467" i="11"/>
  <c r="F468" i="11"/>
  <c r="D469" i="11"/>
  <c r="H470" i="11"/>
  <c r="E470" i="11"/>
  <c r="F471" i="11"/>
  <c r="D472" i="11"/>
  <c r="F478" i="11"/>
  <c r="I494" i="11"/>
  <c r="G496" i="11"/>
  <c r="I497" i="11"/>
  <c r="G499" i="11"/>
  <c r="I500" i="11"/>
  <c r="G502" i="11"/>
  <c r="I503" i="11"/>
  <c r="F479" i="11"/>
  <c r="F482" i="11"/>
  <c r="F485" i="11"/>
  <c r="I374" i="11"/>
  <c r="I375" i="11"/>
  <c r="I372" i="11"/>
  <c r="I369" i="11"/>
  <c r="I371" i="11"/>
  <c r="I373" i="11"/>
  <c r="I370" i="11"/>
  <c r="F119" i="11"/>
  <c r="C71" i="6"/>
  <c r="H548" i="11" l="1"/>
  <c r="G463" i="11"/>
  <c r="H582" i="11"/>
  <c r="E534" i="11"/>
  <c r="G534" i="11"/>
  <c r="F534" i="11"/>
  <c r="E532" i="11"/>
  <c r="G532" i="11"/>
  <c r="F532" i="11"/>
  <c r="E528" i="11"/>
  <c r="G528" i="11"/>
  <c r="F528" i="11"/>
  <c r="E526" i="11"/>
  <c r="G526" i="11"/>
  <c r="F526" i="11"/>
  <c r="E529" i="11"/>
  <c r="G529" i="11"/>
  <c r="F529" i="11"/>
  <c r="E531" i="11"/>
  <c r="G531" i="11"/>
  <c r="F531" i="11"/>
  <c r="E525" i="11"/>
  <c r="G525" i="11"/>
  <c r="F525" i="11"/>
  <c r="H735" i="11"/>
  <c r="H751" i="11"/>
  <c r="H742" i="11"/>
  <c r="H736" i="11"/>
  <c r="G464" i="11"/>
  <c r="H750" i="11"/>
  <c r="H738" i="11"/>
  <c r="I744" i="11"/>
  <c r="I714" i="11"/>
  <c r="H757" i="11"/>
  <c r="H753" i="11"/>
  <c r="I759" i="11"/>
  <c r="H749" i="11"/>
  <c r="H741" i="11"/>
  <c r="H737" i="11"/>
  <c r="H756" i="11"/>
  <c r="H752" i="11"/>
  <c r="H740" i="11"/>
  <c r="H758" i="11"/>
  <c r="H755" i="11"/>
  <c r="H743" i="11"/>
  <c r="H734" i="11"/>
  <c r="H754" i="11"/>
  <c r="H739" i="11"/>
  <c r="I604" i="11"/>
  <c r="H588" i="11"/>
  <c r="F721" i="11"/>
  <c r="G721" i="11" s="1"/>
  <c r="F719" i="11"/>
  <c r="G719" i="11" s="1"/>
  <c r="F720" i="11"/>
  <c r="G720" i="11" s="1"/>
  <c r="F706" i="11"/>
  <c r="G706" i="11" s="1"/>
  <c r="F727" i="11"/>
  <c r="G727" i="11" s="1"/>
  <c r="I728" i="11"/>
  <c r="F707" i="11"/>
  <c r="G707" i="11" s="1"/>
  <c r="F704" i="11"/>
  <c r="G704" i="11" s="1"/>
  <c r="F724" i="11"/>
  <c r="G724" i="11" s="1"/>
  <c r="F711" i="11"/>
  <c r="G711" i="11" s="1"/>
  <c r="F723" i="11"/>
  <c r="G723" i="11" s="1"/>
  <c r="F709" i="11"/>
  <c r="G709" i="11" s="1"/>
  <c r="F725" i="11"/>
  <c r="G725" i="11" s="1"/>
  <c r="F726" i="11"/>
  <c r="G726" i="11" s="1"/>
  <c r="F712" i="11"/>
  <c r="G712" i="11" s="1"/>
  <c r="F718" i="11"/>
  <c r="G718" i="11" s="1"/>
  <c r="H705" i="11"/>
  <c r="F708" i="11"/>
  <c r="G708" i="11" s="1"/>
  <c r="F722" i="11"/>
  <c r="G722" i="11" s="1"/>
  <c r="F713" i="11"/>
  <c r="G713" i="11" s="1"/>
  <c r="F710" i="11"/>
  <c r="G710" i="11" s="1"/>
  <c r="I667" i="11"/>
  <c r="H657" i="11"/>
  <c r="I653" i="11"/>
  <c r="H646" i="11"/>
  <c r="F665" i="11"/>
  <c r="G665" i="11" s="1"/>
  <c r="F661" i="11"/>
  <c r="G661" i="11" s="1"/>
  <c r="F650" i="11"/>
  <c r="G650" i="11" s="1"/>
  <c r="F645" i="11"/>
  <c r="G645" i="11" s="1"/>
  <c r="F666" i="11"/>
  <c r="G666" i="11" s="1"/>
  <c r="F662" i="11"/>
  <c r="G662" i="11" s="1"/>
  <c r="F658" i="11"/>
  <c r="G658" i="11" s="1"/>
  <c r="F651" i="11"/>
  <c r="G651" i="11" s="1"/>
  <c r="F647" i="11"/>
  <c r="G647" i="11" s="1"/>
  <c r="H663" i="11"/>
  <c r="H652" i="11"/>
  <c r="H643" i="11"/>
  <c r="F664" i="11"/>
  <c r="G664" i="11" s="1"/>
  <c r="F659" i="11"/>
  <c r="G659" i="11" s="1"/>
  <c r="F648" i="11"/>
  <c r="G648" i="11" s="1"/>
  <c r="F644" i="11"/>
  <c r="G644" i="11" s="1"/>
  <c r="H660" i="11"/>
  <c r="H649" i="11"/>
  <c r="I602" i="11"/>
  <c r="H587" i="11"/>
  <c r="I598" i="11"/>
  <c r="H589" i="11"/>
  <c r="H583" i="11"/>
  <c r="I596" i="11"/>
  <c r="H591" i="11"/>
  <c r="H590" i="11"/>
  <c r="J606" i="11"/>
  <c r="I601" i="11"/>
  <c r="I605" i="11"/>
  <c r="I600" i="11"/>
  <c r="H585" i="11"/>
  <c r="H584" i="11"/>
  <c r="I599" i="11"/>
  <c r="H586" i="11"/>
  <c r="I592" i="11"/>
  <c r="I603" i="11"/>
  <c r="I597" i="11"/>
  <c r="H562" i="11"/>
  <c r="H560" i="11"/>
  <c r="H559" i="11"/>
  <c r="I565" i="11"/>
  <c r="H557" i="11"/>
  <c r="H556" i="11"/>
  <c r="H546" i="11"/>
  <c r="H544" i="11"/>
  <c r="H543" i="11"/>
  <c r="H542" i="11"/>
  <c r="H513" i="11"/>
  <c r="H549" i="11"/>
  <c r="H563" i="11"/>
  <c r="H545" i="11"/>
  <c r="H541" i="11"/>
  <c r="H555" i="11"/>
  <c r="H550" i="11"/>
  <c r="H561" i="11"/>
  <c r="H558" i="11"/>
  <c r="H564" i="11"/>
  <c r="I551" i="11"/>
  <c r="H547" i="11"/>
  <c r="H527" i="11"/>
  <c r="H510" i="11"/>
  <c r="H515" i="11"/>
  <c r="G467" i="11"/>
  <c r="H512" i="11"/>
  <c r="H519" i="11"/>
  <c r="H511" i="11"/>
  <c r="H533" i="11"/>
  <c r="H518" i="11"/>
  <c r="H516" i="11"/>
  <c r="H517" i="11"/>
  <c r="I529" i="11"/>
  <c r="I531" i="11"/>
  <c r="I526" i="11"/>
  <c r="I534" i="11"/>
  <c r="H514" i="11"/>
  <c r="I532" i="11"/>
  <c r="H530" i="11"/>
  <c r="I528" i="11"/>
  <c r="I520" i="11"/>
  <c r="I525" i="11"/>
  <c r="G470" i="11"/>
  <c r="G472" i="11"/>
  <c r="H501" i="11"/>
  <c r="H497" i="11"/>
  <c r="G465" i="11"/>
  <c r="H495" i="11"/>
  <c r="H494" i="11"/>
  <c r="F481" i="11"/>
  <c r="G469" i="11"/>
  <c r="G468" i="11"/>
  <c r="F487" i="11"/>
  <c r="H496" i="11"/>
  <c r="I504" i="11"/>
  <c r="H500" i="11"/>
  <c r="G471" i="11"/>
  <c r="H473" i="11"/>
  <c r="C453" i="11" s="1"/>
  <c r="F488" i="11"/>
  <c r="G466" i="11"/>
  <c r="H503" i="11"/>
  <c r="H502" i="11"/>
  <c r="H499" i="11"/>
  <c r="H498" i="11"/>
  <c r="C574" i="11" l="1"/>
  <c r="C455" i="11"/>
  <c r="C573" i="11"/>
  <c r="H706" i="11"/>
  <c r="H662" i="11"/>
  <c r="H709" i="11"/>
  <c r="H704" i="11"/>
  <c r="H718" i="11"/>
  <c r="H759" i="11"/>
  <c r="H650" i="11"/>
  <c r="H665" i="11"/>
  <c r="H712" i="11"/>
  <c r="H744" i="11"/>
  <c r="H666" i="11"/>
  <c r="H719" i="11"/>
  <c r="H644" i="11"/>
  <c r="H659" i="11"/>
  <c r="H647" i="11"/>
  <c r="H658" i="11"/>
  <c r="H645" i="11"/>
  <c r="H710" i="11"/>
  <c r="H722" i="11"/>
  <c r="H725" i="11"/>
  <c r="H707" i="11"/>
  <c r="H727" i="11"/>
  <c r="H726" i="11"/>
  <c r="H723" i="11"/>
  <c r="H720" i="11"/>
  <c r="H713" i="11"/>
  <c r="H708" i="11"/>
  <c r="H711" i="11"/>
  <c r="H724" i="11"/>
  <c r="H721" i="11"/>
  <c r="H664" i="11"/>
  <c r="H648" i="11"/>
  <c r="H651" i="11"/>
  <c r="H661" i="11"/>
  <c r="I606" i="11"/>
  <c r="H592" i="11"/>
  <c r="H565" i="11"/>
  <c r="H551" i="11"/>
  <c r="H520" i="11"/>
  <c r="H526" i="11"/>
  <c r="H528" i="11"/>
  <c r="H525" i="11"/>
  <c r="H534" i="11"/>
  <c r="H531" i="11"/>
  <c r="I535" i="11"/>
  <c r="C454" i="11" s="1"/>
  <c r="H532" i="11"/>
  <c r="H529" i="11"/>
  <c r="H504" i="11"/>
  <c r="G473" i="11"/>
  <c r="B574" i="11" l="1"/>
  <c r="B455" i="11"/>
  <c r="H653" i="11"/>
  <c r="H667" i="11"/>
  <c r="H714" i="11"/>
  <c r="H728" i="11"/>
  <c r="B453" i="11"/>
  <c r="H535" i="11"/>
  <c r="B454" i="11" s="1"/>
  <c r="B573" i="11" l="1"/>
  <c r="F589" i="44"/>
  <c r="E589" i="44"/>
  <c r="B46" i="3"/>
  <c r="B55" i="3" s="1"/>
  <c r="D22" i="3"/>
  <c r="D21" i="3"/>
  <c r="D20" i="3"/>
  <c r="D19" i="3"/>
  <c r="D18" i="3"/>
  <c r="D17" i="3"/>
  <c r="D16" i="3"/>
  <c r="D15" i="3"/>
  <c r="D14" i="3"/>
  <c r="C22" i="3"/>
  <c r="C21" i="3"/>
  <c r="C20" i="3"/>
  <c r="C19" i="3"/>
  <c r="C18" i="3"/>
  <c r="C17" i="3"/>
  <c r="C16" i="3"/>
  <c r="C15" i="3"/>
  <c r="C14" i="3"/>
  <c r="D30" i="3"/>
  <c r="D29" i="3"/>
  <c r="D28" i="3"/>
  <c r="D11" i="50"/>
  <c r="D10" i="50"/>
  <c r="B4" i="50" l="1"/>
  <c r="C39" i="52"/>
  <c r="E39" i="52" s="1"/>
  <c r="C38" i="52"/>
  <c r="D38" i="52" s="1"/>
  <c r="G38" i="52" s="1"/>
  <c r="C37" i="52"/>
  <c r="F37" i="52" s="1"/>
  <c r="C36" i="52"/>
  <c r="E36" i="52" s="1"/>
  <c r="C35" i="52"/>
  <c r="D35" i="52" s="1"/>
  <c r="G35" i="52" s="1"/>
  <c r="C34" i="52"/>
  <c r="F34" i="52" s="1"/>
  <c r="C33" i="52"/>
  <c r="E33" i="52" s="1"/>
  <c r="C32" i="52"/>
  <c r="D32" i="52" s="1"/>
  <c r="G32" i="52" s="1"/>
  <c r="C31" i="52"/>
  <c r="F31" i="52" s="1"/>
  <c r="C30" i="52"/>
  <c r="E30" i="52" s="1"/>
  <c r="C29" i="52"/>
  <c r="D29" i="52" s="1"/>
  <c r="G29" i="52" s="1"/>
  <c r="C28" i="52"/>
  <c r="F28" i="52" s="1"/>
  <c r="B28" i="52"/>
  <c r="B29" i="52"/>
  <c r="B30" i="52"/>
  <c r="B31" i="52"/>
  <c r="B32" i="52"/>
  <c r="B33" i="52"/>
  <c r="B34" i="52"/>
  <c r="B35" i="52"/>
  <c r="B36" i="52"/>
  <c r="B37" i="52"/>
  <c r="B38" i="52"/>
  <c r="B39" i="52"/>
  <c r="G31" i="12"/>
  <c r="E31" i="12"/>
  <c r="D31" i="12"/>
  <c r="C31" i="12"/>
  <c r="D53" i="48"/>
  <c r="D54" i="48"/>
  <c r="D55" i="48"/>
  <c r="D56" i="48"/>
  <c r="D57" i="48"/>
  <c r="D58" i="48"/>
  <c r="D52" i="48"/>
  <c r="D50" i="48"/>
  <c r="D37" i="48"/>
  <c r="D38" i="48"/>
  <c r="D39" i="48"/>
  <c r="D40" i="48"/>
  <c r="D41" i="48"/>
  <c r="D42" i="48"/>
  <c r="D43" i="48"/>
  <c r="D44" i="48"/>
  <c r="D45" i="48"/>
  <c r="D46" i="48"/>
  <c r="D47" i="48"/>
  <c r="D48" i="48"/>
  <c r="D49" i="48"/>
  <c r="D36" i="48"/>
  <c r="D17" i="48"/>
  <c r="D18" i="48"/>
  <c r="D19" i="48"/>
  <c r="D20" i="48"/>
  <c r="D21" i="48"/>
  <c r="D22" i="48"/>
  <c r="D23" i="48"/>
  <c r="D24" i="48"/>
  <c r="D25" i="48"/>
  <c r="D26" i="48"/>
  <c r="D27" i="48"/>
  <c r="D28" i="48"/>
  <c r="D29" i="48"/>
  <c r="D30" i="48"/>
  <c r="D31" i="48"/>
  <c r="D32" i="48"/>
  <c r="D33" i="48"/>
  <c r="D34" i="48"/>
  <c r="D14" i="48"/>
  <c r="D12" i="48"/>
  <c r="D13" i="48"/>
  <c r="I11" i="48"/>
  <c r="B5" i="48" s="1"/>
  <c r="C16" i="9"/>
  <c r="E16" i="9" s="1"/>
  <c r="D13" i="13"/>
  <c r="E13" i="13" s="1"/>
  <c r="C171" i="12"/>
  <c r="D171" i="12" s="1"/>
  <c r="C172" i="12"/>
  <c r="D172" i="12" s="1"/>
  <c r="C173" i="12"/>
  <c r="D173" i="12" s="1"/>
  <c r="I173" i="12" s="1"/>
  <c r="C174" i="12"/>
  <c r="D174" i="12" s="1"/>
  <c r="C175" i="12"/>
  <c r="D175" i="12" s="1"/>
  <c r="C176" i="12"/>
  <c r="D176" i="12" s="1"/>
  <c r="I176" i="12" s="1"/>
  <c r="C177" i="12"/>
  <c r="D177" i="12" s="1"/>
  <c r="C178" i="12"/>
  <c r="D178" i="12" s="1"/>
  <c r="C179" i="12"/>
  <c r="D179" i="12" s="1"/>
  <c r="I179" i="12" s="1"/>
  <c r="D170" i="12"/>
  <c r="C125" i="12"/>
  <c r="D125" i="12" s="1"/>
  <c r="I125" i="12" s="1"/>
  <c r="C126" i="12"/>
  <c r="D126" i="12" s="1"/>
  <c r="I126" i="12" s="1"/>
  <c r="C127" i="12"/>
  <c r="D127" i="12" s="1"/>
  <c r="I127" i="12" s="1"/>
  <c r="C128" i="12"/>
  <c r="D128" i="12" s="1"/>
  <c r="I128" i="12" s="1"/>
  <c r="C129" i="12"/>
  <c r="D129" i="12" s="1"/>
  <c r="I129" i="12" s="1"/>
  <c r="C130" i="12"/>
  <c r="D130" i="12" s="1"/>
  <c r="I130" i="12" s="1"/>
  <c r="C131" i="12"/>
  <c r="D131" i="12" s="1"/>
  <c r="I131" i="12" s="1"/>
  <c r="C132" i="12"/>
  <c r="D132" i="12" s="1"/>
  <c r="I132" i="12" s="1"/>
  <c r="C133" i="12"/>
  <c r="D133" i="12" s="1"/>
  <c r="I133" i="12" s="1"/>
  <c r="C124" i="12"/>
  <c r="D124" i="12" s="1"/>
  <c r="I124" i="12" s="1"/>
  <c r="C109" i="12"/>
  <c r="D109" i="12" s="1"/>
  <c r="C110" i="12"/>
  <c r="D110" i="12" s="1"/>
  <c r="C111" i="12"/>
  <c r="D111" i="12" s="1"/>
  <c r="C112" i="12"/>
  <c r="D112" i="12" s="1"/>
  <c r="C113" i="12"/>
  <c r="D113" i="12" s="1"/>
  <c r="C114" i="12"/>
  <c r="D114" i="12" s="1"/>
  <c r="C115" i="12"/>
  <c r="D115" i="12" s="1"/>
  <c r="C116" i="12"/>
  <c r="D116" i="12" s="1"/>
  <c r="C117" i="12"/>
  <c r="D117" i="12" s="1"/>
  <c r="D108" i="12"/>
  <c r="C16" i="12"/>
  <c r="C79" i="12"/>
  <c r="C80" i="12"/>
  <c r="C81" i="12"/>
  <c r="C82" i="12"/>
  <c r="C83" i="12"/>
  <c r="C84" i="12"/>
  <c r="C85" i="12"/>
  <c r="C86" i="12"/>
  <c r="C87" i="12"/>
  <c r="C78" i="12"/>
  <c r="G40" i="12"/>
  <c r="G39" i="12"/>
  <c r="G38" i="12"/>
  <c r="G37" i="12"/>
  <c r="G36" i="12"/>
  <c r="G35" i="12"/>
  <c r="G34" i="12"/>
  <c r="G33" i="12"/>
  <c r="G32" i="12"/>
  <c r="C40" i="12"/>
  <c r="C39" i="12"/>
  <c r="D39" i="12" s="1"/>
  <c r="E39" i="12" s="1"/>
  <c r="C38" i="12"/>
  <c r="D38" i="12" s="1"/>
  <c r="E38" i="12" s="1"/>
  <c r="C37" i="12"/>
  <c r="D37" i="12" s="1"/>
  <c r="E37" i="12" s="1"/>
  <c r="C36" i="12"/>
  <c r="D36" i="12" s="1"/>
  <c r="E36" i="12" s="1"/>
  <c r="C35" i="12"/>
  <c r="D35" i="12" s="1"/>
  <c r="E35" i="12" s="1"/>
  <c r="C34" i="12"/>
  <c r="C33" i="12"/>
  <c r="D33" i="12" s="1"/>
  <c r="E33" i="12" s="1"/>
  <c r="C32" i="12"/>
  <c r="D32" i="12" s="1"/>
  <c r="E32" i="12" s="1"/>
  <c r="E229" i="45"/>
  <c r="E230" i="45"/>
  <c r="E231" i="45"/>
  <c r="E232" i="45"/>
  <c r="E233" i="45"/>
  <c r="E234" i="45"/>
  <c r="E235" i="45"/>
  <c r="E236" i="45"/>
  <c r="E237" i="45"/>
  <c r="E238" i="45"/>
  <c r="D184" i="45"/>
  <c r="C154" i="45"/>
  <c r="D154" i="45" s="1"/>
  <c r="C155" i="45"/>
  <c r="D155" i="45" s="1"/>
  <c r="C156" i="45"/>
  <c r="D156" i="45" s="1"/>
  <c r="C157" i="45"/>
  <c r="D157" i="45" s="1"/>
  <c r="C158" i="45"/>
  <c r="D158" i="45" s="1"/>
  <c r="C159" i="45"/>
  <c r="D159" i="45" s="1"/>
  <c r="C160" i="45"/>
  <c r="D160" i="45" s="1"/>
  <c r="C161" i="45"/>
  <c r="D161" i="45" s="1"/>
  <c r="C162" i="45"/>
  <c r="D162" i="45" s="1"/>
  <c r="C153" i="45"/>
  <c r="D153" i="45" s="1"/>
  <c r="E153" i="45" s="1"/>
  <c r="C139" i="45"/>
  <c r="D139" i="45" s="1"/>
  <c r="E139" i="45" s="1"/>
  <c r="C124" i="45"/>
  <c r="D124" i="45" s="1"/>
  <c r="E124" i="45" s="1"/>
  <c r="C125" i="45"/>
  <c r="D125" i="45" s="1"/>
  <c r="E125" i="45" s="1"/>
  <c r="C126" i="45"/>
  <c r="D126" i="45" s="1"/>
  <c r="C127" i="45"/>
  <c r="D127" i="45" s="1"/>
  <c r="E127" i="45" s="1"/>
  <c r="C128" i="45"/>
  <c r="D128" i="45" s="1"/>
  <c r="E128" i="45" s="1"/>
  <c r="C129" i="45"/>
  <c r="D129" i="45" s="1"/>
  <c r="C130" i="45"/>
  <c r="D130" i="45" s="1"/>
  <c r="E130" i="45" s="1"/>
  <c r="C131" i="45"/>
  <c r="D131" i="45" s="1"/>
  <c r="E131" i="45" s="1"/>
  <c r="C132" i="45"/>
  <c r="D132" i="45" s="1"/>
  <c r="C133" i="45"/>
  <c r="D133" i="45" s="1"/>
  <c r="E133" i="45" s="1"/>
  <c r="F87" i="44"/>
  <c r="F673" i="44" s="1"/>
  <c r="F88" i="44"/>
  <c r="F674" i="44" s="1"/>
  <c r="E178" i="12" l="1"/>
  <c r="I178" i="12"/>
  <c r="E172" i="12"/>
  <c r="I172" i="12"/>
  <c r="E170" i="12"/>
  <c r="I170" i="12"/>
  <c r="E177" i="12"/>
  <c r="I177" i="12"/>
  <c r="E174" i="12"/>
  <c r="I174" i="12"/>
  <c r="E171" i="12"/>
  <c r="I171" i="12"/>
  <c r="E175" i="12"/>
  <c r="I175" i="12"/>
  <c r="G108" i="12"/>
  <c r="E108" i="12"/>
  <c r="F108" i="12"/>
  <c r="G115" i="12"/>
  <c r="E115" i="12"/>
  <c r="F115" i="12"/>
  <c r="G112" i="12"/>
  <c r="F112" i="12"/>
  <c r="E112" i="12"/>
  <c r="G109" i="12"/>
  <c r="F109" i="12"/>
  <c r="E109" i="12"/>
  <c r="G117" i="12"/>
  <c r="F117" i="12"/>
  <c r="E117" i="12"/>
  <c r="G114" i="12"/>
  <c r="E114" i="12"/>
  <c r="F114" i="12"/>
  <c r="I111" i="12"/>
  <c r="G111" i="12"/>
  <c r="E111" i="12"/>
  <c r="F111" i="12"/>
  <c r="G116" i="12"/>
  <c r="E116" i="12"/>
  <c r="F116" i="12"/>
  <c r="G113" i="12"/>
  <c r="E113" i="12"/>
  <c r="F113" i="12"/>
  <c r="G110" i="12"/>
  <c r="F110" i="12"/>
  <c r="E110" i="12"/>
  <c r="F16" i="12"/>
  <c r="H16" i="12"/>
  <c r="D16" i="12"/>
  <c r="C95" i="45"/>
  <c r="D95" i="45" s="1"/>
  <c r="E95" i="45" s="1"/>
  <c r="F95" i="45" s="1"/>
  <c r="G95" i="45" s="1"/>
  <c r="C681" i="11"/>
  <c r="D681" i="11" s="1"/>
  <c r="C678" i="11"/>
  <c r="D678" i="11" s="1"/>
  <c r="C675" i="11"/>
  <c r="D675" i="11" s="1"/>
  <c r="C673" i="11"/>
  <c r="D673" i="11" s="1"/>
  <c r="C635" i="11"/>
  <c r="D635" i="11" s="1"/>
  <c r="I635" i="11" s="1"/>
  <c r="C632" i="11"/>
  <c r="D632" i="11" s="1"/>
  <c r="I632" i="11" s="1"/>
  <c r="C629" i="11"/>
  <c r="D629" i="11" s="1"/>
  <c r="I629" i="11" s="1"/>
  <c r="C680" i="11"/>
  <c r="D680" i="11" s="1"/>
  <c r="C677" i="11"/>
  <c r="D677" i="11" s="1"/>
  <c r="C634" i="11"/>
  <c r="D634" i="11" s="1"/>
  <c r="I634" i="11" s="1"/>
  <c r="C631" i="11"/>
  <c r="D631" i="11" s="1"/>
  <c r="I631" i="11" s="1"/>
  <c r="C628" i="11"/>
  <c r="D628" i="11" s="1"/>
  <c r="I628" i="11" s="1"/>
  <c r="C682" i="11"/>
  <c r="D682" i="11" s="1"/>
  <c r="C679" i="11"/>
  <c r="D679" i="11" s="1"/>
  <c r="C676" i="11"/>
  <c r="D676" i="11" s="1"/>
  <c r="C674" i="11"/>
  <c r="D674" i="11" s="1"/>
  <c r="C636" i="11"/>
  <c r="D636" i="11" s="1"/>
  <c r="I636" i="11" s="1"/>
  <c r="C633" i="11"/>
  <c r="D633" i="11" s="1"/>
  <c r="I633" i="11" s="1"/>
  <c r="C630" i="11"/>
  <c r="D630" i="11" s="1"/>
  <c r="I630" i="11" s="1"/>
  <c r="C627" i="11"/>
  <c r="D627" i="11" s="1"/>
  <c r="I627" i="11" s="1"/>
  <c r="C110" i="45"/>
  <c r="D110" i="45" s="1"/>
  <c r="I110" i="45" s="1"/>
  <c r="C696" i="11"/>
  <c r="D696" i="11" s="1"/>
  <c r="C693" i="11"/>
  <c r="D693" i="11" s="1"/>
  <c r="C690" i="11"/>
  <c r="D690" i="11" s="1"/>
  <c r="C688" i="11"/>
  <c r="D688" i="11" s="1"/>
  <c r="C695" i="11"/>
  <c r="D695" i="11" s="1"/>
  <c r="C692" i="11"/>
  <c r="D692" i="11" s="1"/>
  <c r="C689" i="11"/>
  <c r="D689" i="11" s="1"/>
  <c r="C687" i="11"/>
  <c r="D687" i="11" s="1"/>
  <c r="C694" i="11"/>
  <c r="D694" i="11" s="1"/>
  <c r="C691" i="11"/>
  <c r="D691" i="11" s="1"/>
  <c r="E16" i="12"/>
  <c r="D59" i="48"/>
  <c r="B4" i="48" s="1"/>
  <c r="D28" i="52"/>
  <c r="G28" i="52" s="1"/>
  <c r="F31" i="12"/>
  <c r="F39" i="52"/>
  <c r="H39" i="52" s="1"/>
  <c r="E29" i="52"/>
  <c r="D31" i="52"/>
  <c r="G31" i="52" s="1"/>
  <c r="E32" i="52"/>
  <c r="D34" i="52"/>
  <c r="G34" i="52" s="1"/>
  <c r="E35" i="52"/>
  <c r="D37" i="52"/>
  <c r="G37" i="52" s="1"/>
  <c r="E38" i="52"/>
  <c r="E28" i="52"/>
  <c r="H28" i="52" s="1"/>
  <c r="E31" i="52"/>
  <c r="H31" i="52" s="1"/>
  <c r="E34" i="52"/>
  <c r="H34" i="52" s="1"/>
  <c r="E37" i="52"/>
  <c r="H37" i="52" s="1"/>
  <c r="F30" i="52"/>
  <c r="H30" i="52" s="1"/>
  <c r="F33" i="52"/>
  <c r="H33" i="52" s="1"/>
  <c r="F29" i="52"/>
  <c r="D30" i="52"/>
  <c r="G30" i="52" s="1"/>
  <c r="F32" i="52"/>
  <c r="D33" i="52"/>
  <c r="G33" i="52" s="1"/>
  <c r="F35" i="52"/>
  <c r="D36" i="52"/>
  <c r="G36" i="52" s="1"/>
  <c r="F38" i="52"/>
  <c r="D39" i="52"/>
  <c r="G39" i="52" s="1"/>
  <c r="F36" i="52"/>
  <c r="H36" i="52" s="1"/>
  <c r="C164" i="12"/>
  <c r="D164" i="12" s="1"/>
  <c r="I164" i="12" s="1"/>
  <c r="C161" i="12"/>
  <c r="D161" i="12" s="1"/>
  <c r="C158" i="12"/>
  <c r="D158" i="12" s="1"/>
  <c r="C48" i="45"/>
  <c r="D48" i="45" s="1"/>
  <c r="C100" i="45"/>
  <c r="D100" i="45" s="1"/>
  <c r="E100" i="45" s="1"/>
  <c r="C163" i="12"/>
  <c r="D163" i="12" s="1"/>
  <c r="C160" i="12"/>
  <c r="D160" i="12" s="1"/>
  <c r="C157" i="12"/>
  <c r="D157" i="12" s="1"/>
  <c r="C55" i="45"/>
  <c r="D55" i="45" s="1"/>
  <c r="C155" i="12"/>
  <c r="D155" i="12" s="1"/>
  <c r="C162" i="12"/>
  <c r="D162" i="12" s="1"/>
  <c r="C159" i="12"/>
  <c r="D159" i="12" s="1"/>
  <c r="C156" i="12"/>
  <c r="D156" i="12" s="1"/>
  <c r="E133" i="12"/>
  <c r="E130" i="12"/>
  <c r="E127" i="12"/>
  <c r="E124" i="12"/>
  <c r="F124" i="12"/>
  <c r="E131" i="12"/>
  <c r="F131" i="12"/>
  <c r="E128" i="12"/>
  <c r="F128" i="12"/>
  <c r="E125" i="12"/>
  <c r="F125" i="12"/>
  <c r="E132" i="12"/>
  <c r="F132" i="12"/>
  <c r="E129" i="12"/>
  <c r="F129" i="12"/>
  <c r="E126" i="12"/>
  <c r="F126" i="12"/>
  <c r="E179" i="12"/>
  <c r="F179" i="12"/>
  <c r="E176" i="12"/>
  <c r="F176" i="12"/>
  <c r="E173" i="12"/>
  <c r="F173" i="12"/>
  <c r="I110" i="12"/>
  <c r="F170" i="12"/>
  <c r="F171" i="12"/>
  <c r="F172" i="12"/>
  <c r="F174" i="12"/>
  <c r="F175" i="12"/>
  <c r="F177" i="12"/>
  <c r="F178" i="12"/>
  <c r="F127" i="12"/>
  <c r="F130" i="12"/>
  <c r="F133" i="12"/>
  <c r="G170" i="12"/>
  <c r="G171" i="12"/>
  <c r="G172" i="12"/>
  <c r="G173" i="12"/>
  <c r="G174" i="12"/>
  <c r="G175" i="12"/>
  <c r="G176" i="12"/>
  <c r="G177" i="12"/>
  <c r="G178" i="12"/>
  <c r="G179" i="12"/>
  <c r="G124" i="12"/>
  <c r="G125" i="12"/>
  <c r="G126" i="12"/>
  <c r="G127" i="12"/>
  <c r="G128" i="12"/>
  <c r="G129" i="12"/>
  <c r="G130" i="12"/>
  <c r="G131" i="12"/>
  <c r="G132" i="12"/>
  <c r="G133" i="12"/>
  <c r="I116" i="12"/>
  <c r="I113" i="12"/>
  <c r="I115" i="12"/>
  <c r="I112" i="12"/>
  <c r="I109" i="12"/>
  <c r="I117" i="12"/>
  <c r="I114" i="12"/>
  <c r="I108" i="12"/>
  <c r="D80" i="12"/>
  <c r="D83" i="12"/>
  <c r="D86" i="12"/>
  <c r="D79" i="12"/>
  <c r="D82" i="12"/>
  <c r="D85" i="12"/>
  <c r="D78" i="12"/>
  <c r="D81" i="12"/>
  <c r="D84" i="12"/>
  <c r="D87" i="12"/>
  <c r="G41" i="12"/>
  <c r="D40" i="12"/>
  <c r="E40" i="12" s="1"/>
  <c r="D34" i="12"/>
  <c r="E34" i="12" s="1"/>
  <c r="F37" i="12"/>
  <c r="F33" i="12"/>
  <c r="F36" i="12"/>
  <c r="F39" i="12"/>
  <c r="F32" i="12"/>
  <c r="F35" i="12"/>
  <c r="F38" i="12"/>
  <c r="C49" i="45"/>
  <c r="D49" i="45" s="1"/>
  <c r="C97" i="45"/>
  <c r="D97" i="45" s="1"/>
  <c r="E97" i="45" s="1"/>
  <c r="F97" i="45" s="1"/>
  <c r="G97" i="45" s="1"/>
  <c r="E239" i="45"/>
  <c r="C52" i="45"/>
  <c r="D52" i="45" s="1"/>
  <c r="C103" i="45"/>
  <c r="D103" i="45" s="1"/>
  <c r="E103" i="45" s="1"/>
  <c r="F103" i="45" s="1"/>
  <c r="G103" i="45" s="1"/>
  <c r="C108" i="45"/>
  <c r="D108" i="45" s="1"/>
  <c r="E108" i="45" s="1"/>
  <c r="F108" i="45" s="1"/>
  <c r="G108" i="45" s="1"/>
  <c r="C115" i="45"/>
  <c r="D115" i="45" s="1"/>
  <c r="I115" i="45" s="1"/>
  <c r="C112" i="45"/>
  <c r="D112" i="45" s="1"/>
  <c r="E112" i="45" s="1"/>
  <c r="F112" i="45" s="1"/>
  <c r="G112" i="45" s="1"/>
  <c r="C109" i="45"/>
  <c r="D109" i="45" s="1"/>
  <c r="I109" i="45" s="1"/>
  <c r="C57" i="45"/>
  <c r="D57" i="45" s="1"/>
  <c r="C54" i="45"/>
  <c r="D54" i="45" s="1"/>
  <c r="C51" i="45"/>
  <c r="D51" i="45" s="1"/>
  <c r="C102" i="45"/>
  <c r="D102" i="45" s="1"/>
  <c r="I102" i="45" s="1"/>
  <c r="C99" i="45"/>
  <c r="D99" i="45" s="1"/>
  <c r="E99" i="45" s="1"/>
  <c r="F99" i="45" s="1"/>
  <c r="G99" i="45" s="1"/>
  <c r="C96" i="45"/>
  <c r="D96" i="45" s="1"/>
  <c r="E96" i="45" s="1"/>
  <c r="F96" i="45" s="1"/>
  <c r="C117" i="45"/>
  <c r="D117" i="45" s="1"/>
  <c r="E117" i="45" s="1"/>
  <c r="F117" i="45" s="1"/>
  <c r="C114" i="45"/>
  <c r="D114" i="45" s="1"/>
  <c r="I114" i="45" s="1"/>
  <c r="C111" i="45"/>
  <c r="D111" i="45" s="1"/>
  <c r="E111" i="45" s="1"/>
  <c r="F111" i="45" s="1"/>
  <c r="G111" i="45" s="1"/>
  <c r="C56" i="45"/>
  <c r="D56" i="45" s="1"/>
  <c r="C53" i="45"/>
  <c r="D53" i="45" s="1"/>
  <c r="C50" i="45"/>
  <c r="D50" i="45" s="1"/>
  <c r="C94" i="45"/>
  <c r="D94" i="45" s="1"/>
  <c r="I94" i="45" s="1"/>
  <c r="C101" i="45"/>
  <c r="D101" i="45" s="1"/>
  <c r="E101" i="45" s="1"/>
  <c r="C98" i="45"/>
  <c r="D98" i="45" s="1"/>
  <c r="E98" i="45" s="1"/>
  <c r="F98" i="45" s="1"/>
  <c r="G98" i="45" s="1"/>
  <c r="C116" i="45"/>
  <c r="D116" i="45" s="1"/>
  <c r="I116" i="45" s="1"/>
  <c r="C113" i="45"/>
  <c r="D113" i="45" s="1"/>
  <c r="E113" i="45" s="1"/>
  <c r="F113" i="45" s="1"/>
  <c r="G113" i="45" s="1"/>
  <c r="E184" i="45"/>
  <c r="I184" i="45"/>
  <c r="F184" i="45"/>
  <c r="G184" i="45"/>
  <c r="E161" i="45"/>
  <c r="F161" i="45" s="1"/>
  <c r="I161" i="45"/>
  <c r="E158" i="45"/>
  <c r="F158" i="45" s="1"/>
  <c r="G158" i="45" s="1"/>
  <c r="I158" i="45"/>
  <c r="E155" i="45"/>
  <c r="F155" i="45" s="1"/>
  <c r="G155" i="45" s="1"/>
  <c r="I155" i="45"/>
  <c r="E160" i="45"/>
  <c r="F160" i="45" s="1"/>
  <c r="G160" i="45" s="1"/>
  <c r="I160" i="45"/>
  <c r="E157" i="45"/>
  <c r="F157" i="45" s="1"/>
  <c r="G157" i="45" s="1"/>
  <c r="I157" i="45"/>
  <c r="E154" i="45"/>
  <c r="F154" i="45" s="1"/>
  <c r="G154" i="45" s="1"/>
  <c r="I154" i="45"/>
  <c r="E162" i="45"/>
  <c r="F162" i="45" s="1"/>
  <c r="G162" i="45" s="1"/>
  <c r="I162" i="45"/>
  <c r="E159" i="45"/>
  <c r="F159" i="45" s="1"/>
  <c r="G159" i="45" s="1"/>
  <c r="I159" i="45"/>
  <c r="E156" i="45"/>
  <c r="F156" i="45" s="1"/>
  <c r="G156" i="45" s="1"/>
  <c r="I156" i="45"/>
  <c r="I153" i="45"/>
  <c r="F153" i="45"/>
  <c r="G153" i="45" s="1"/>
  <c r="E109" i="45"/>
  <c r="F109" i="45" s="1"/>
  <c r="G109" i="45" s="1"/>
  <c r="E110" i="45"/>
  <c r="F110" i="45" s="1"/>
  <c r="G110" i="45" s="1"/>
  <c r="I108" i="45"/>
  <c r="I139" i="45"/>
  <c r="F139" i="45"/>
  <c r="G139" i="45" s="1"/>
  <c r="I95" i="45"/>
  <c r="E132" i="45"/>
  <c r="F132" i="45" s="1"/>
  <c r="G132" i="45" s="1"/>
  <c r="I132" i="45"/>
  <c r="E129" i="45"/>
  <c r="I129" i="45"/>
  <c r="E126" i="45"/>
  <c r="F126" i="45" s="1"/>
  <c r="G126" i="45" s="1"/>
  <c r="I126" i="45"/>
  <c r="I125" i="45"/>
  <c r="I128" i="45"/>
  <c r="I131" i="45"/>
  <c r="I124" i="45"/>
  <c r="I127" i="45"/>
  <c r="I130" i="45"/>
  <c r="I133" i="45"/>
  <c r="F125" i="45"/>
  <c r="G125" i="45" s="1"/>
  <c r="F128" i="45"/>
  <c r="G128" i="45" s="1"/>
  <c r="F131" i="45"/>
  <c r="G131" i="45" s="1"/>
  <c r="F124" i="45"/>
  <c r="G124" i="45" s="1"/>
  <c r="F127" i="45"/>
  <c r="G127" i="45" s="1"/>
  <c r="F130" i="45"/>
  <c r="G130" i="45" s="1"/>
  <c r="F133" i="45"/>
  <c r="G133" i="45" s="1"/>
  <c r="F86" i="44"/>
  <c r="F672" i="44" s="1"/>
  <c r="E156" i="12" l="1"/>
  <c r="I156" i="12"/>
  <c r="E160" i="12"/>
  <c r="I160" i="12"/>
  <c r="E159" i="12"/>
  <c r="I159" i="12"/>
  <c r="E163" i="12"/>
  <c r="I163" i="12"/>
  <c r="F158" i="12"/>
  <c r="I158" i="12"/>
  <c r="E155" i="12"/>
  <c r="I155" i="12"/>
  <c r="H172" i="12"/>
  <c r="H124" i="12"/>
  <c r="E162" i="12"/>
  <c r="I162" i="12"/>
  <c r="E157" i="12"/>
  <c r="I157" i="12"/>
  <c r="F161" i="12"/>
  <c r="I161" i="12"/>
  <c r="I134" i="45"/>
  <c r="E81" i="12"/>
  <c r="G81" i="12"/>
  <c r="F81" i="12"/>
  <c r="E82" i="12"/>
  <c r="F82" i="12"/>
  <c r="G82" i="12"/>
  <c r="E83" i="12"/>
  <c r="G83" i="12"/>
  <c r="F83" i="12"/>
  <c r="E87" i="12"/>
  <c r="F87" i="12"/>
  <c r="G87" i="12"/>
  <c r="G78" i="12"/>
  <c r="F78" i="12"/>
  <c r="E78" i="12"/>
  <c r="E79" i="12"/>
  <c r="F79" i="12"/>
  <c r="G79" i="12"/>
  <c r="E80" i="12"/>
  <c r="F80" i="12"/>
  <c r="G80" i="12"/>
  <c r="E84" i="12"/>
  <c r="F84" i="12"/>
  <c r="G84" i="12"/>
  <c r="E85" i="12"/>
  <c r="F85" i="12"/>
  <c r="G85" i="12"/>
  <c r="E86" i="12"/>
  <c r="G86" i="12"/>
  <c r="F86" i="12"/>
  <c r="F53" i="45"/>
  <c r="I53" i="45"/>
  <c r="F54" i="45"/>
  <c r="I54" i="45"/>
  <c r="G55" i="45"/>
  <c r="I55" i="45"/>
  <c r="F56" i="45"/>
  <c r="I56" i="45"/>
  <c r="G57" i="45"/>
  <c r="I57" i="45"/>
  <c r="G52" i="45"/>
  <c r="I52" i="45"/>
  <c r="F49" i="45"/>
  <c r="I49" i="45"/>
  <c r="E50" i="45"/>
  <c r="I50" i="45"/>
  <c r="E51" i="45"/>
  <c r="I51" i="45"/>
  <c r="F48" i="45"/>
  <c r="I48" i="45"/>
  <c r="H32" i="52"/>
  <c r="H35" i="52"/>
  <c r="H38" i="52"/>
  <c r="H29" i="52"/>
  <c r="G40" i="52"/>
  <c r="D16" i="2"/>
  <c r="E16" i="2" s="1"/>
  <c r="F16" i="2" s="1"/>
  <c r="G9" i="51"/>
  <c r="E687" i="11"/>
  <c r="I687" i="11"/>
  <c r="E695" i="11"/>
  <c r="I695" i="11"/>
  <c r="E693" i="11"/>
  <c r="I693" i="11"/>
  <c r="E627" i="11"/>
  <c r="G627" i="11"/>
  <c r="F627" i="11"/>
  <c r="E636" i="11"/>
  <c r="G636" i="11"/>
  <c r="F636" i="11"/>
  <c r="E679" i="11"/>
  <c r="I679" i="11"/>
  <c r="F631" i="11"/>
  <c r="G631" i="11"/>
  <c r="E631" i="11"/>
  <c r="I680" i="11"/>
  <c r="E680" i="11"/>
  <c r="G635" i="11"/>
  <c r="E635" i="11"/>
  <c r="F635" i="11"/>
  <c r="I678" i="11"/>
  <c r="E678" i="11"/>
  <c r="C619" i="11"/>
  <c r="D619" i="11" s="1"/>
  <c r="I619" i="11" s="1"/>
  <c r="C617" i="11"/>
  <c r="D617" i="11" s="1"/>
  <c r="I617" i="11" s="1"/>
  <c r="C621" i="11"/>
  <c r="D621" i="11" s="1"/>
  <c r="I621" i="11" s="1"/>
  <c r="C618" i="11"/>
  <c r="D618" i="11" s="1"/>
  <c r="I618" i="11" s="1"/>
  <c r="C616" i="11"/>
  <c r="D616" i="11" s="1"/>
  <c r="I616" i="11" s="1"/>
  <c r="C614" i="11"/>
  <c r="D614" i="11" s="1"/>
  <c r="I614" i="11" s="1"/>
  <c r="C612" i="11"/>
  <c r="D612" i="11" s="1"/>
  <c r="I612" i="11" s="1"/>
  <c r="C620" i="11"/>
  <c r="D620" i="11" s="1"/>
  <c r="I620" i="11" s="1"/>
  <c r="C615" i="11"/>
  <c r="D615" i="11" s="1"/>
  <c r="I615" i="11" s="1"/>
  <c r="C613" i="11"/>
  <c r="D613" i="11" s="1"/>
  <c r="I613" i="11" s="1"/>
  <c r="I691" i="11"/>
  <c r="E691" i="11"/>
  <c r="I689" i="11"/>
  <c r="E689" i="11"/>
  <c r="I688" i="11"/>
  <c r="E688" i="11"/>
  <c r="I696" i="11"/>
  <c r="E696" i="11"/>
  <c r="G630" i="11"/>
  <c r="F630" i="11"/>
  <c r="E630" i="11"/>
  <c r="I674" i="11"/>
  <c r="E674" i="11"/>
  <c r="E682" i="11"/>
  <c r="I682" i="11"/>
  <c r="G634" i="11"/>
  <c r="E634" i="11"/>
  <c r="F634" i="11"/>
  <c r="G629" i="11"/>
  <c r="F629" i="11"/>
  <c r="E629" i="11"/>
  <c r="E673" i="11"/>
  <c r="I673" i="11"/>
  <c r="E681" i="11"/>
  <c r="I681" i="11"/>
  <c r="I694" i="11"/>
  <c r="E694" i="11"/>
  <c r="I692" i="11"/>
  <c r="E692" i="11"/>
  <c r="E690" i="11"/>
  <c r="I690" i="11"/>
  <c r="E633" i="11"/>
  <c r="G633" i="11"/>
  <c r="F633" i="11"/>
  <c r="E676" i="11"/>
  <c r="I676" i="11"/>
  <c r="F628" i="11"/>
  <c r="G628" i="11"/>
  <c r="E628" i="11"/>
  <c r="I677" i="11"/>
  <c r="E677" i="11"/>
  <c r="G632" i="11"/>
  <c r="F632" i="11"/>
  <c r="E632" i="11"/>
  <c r="I675" i="11"/>
  <c r="E675" i="11"/>
  <c r="H170" i="12"/>
  <c r="E48" i="45"/>
  <c r="E158" i="12"/>
  <c r="G160" i="12"/>
  <c r="E164" i="12"/>
  <c r="G159" i="12"/>
  <c r="F156" i="12"/>
  <c r="G49" i="45"/>
  <c r="G48" i="45"/>
  <c r="G164" i="12"/>
  <c r="G155" i="12"/>
  <c r="E49" i="45"/>
  <c r="F55" i="45"/>
  <c r="G156" i="12"/>
  <c r="F163" i="12"/>
  <c r="E52" i="45"/>
  <c r="E55" i="45"/>
  <c r="G50" i="45"/>
  <c r="F160" i="12"/>
  <c r="F164" i="12"/>
  <c r="F155" i="12"/>
  <c r="E161" i="12"/>
  <c r="I100" i="45"/>
  <c r="F51" i="45"/>
  <c r="I96" i="45"/>
  <c r="H132" i="12"/>
  <c r="G161" i="12"/>
  <c r="G158" i="12"/>
  <c r="F159" i="12"/>
  <c r="C141" i="12"/>
  <c r="D141" i="12" s="1"/>
  <c r="I141" i="12" s="1"/>
  <c r="C144" i="12"/>
  <c r="D144" i="12" s="1"/>
  <c r="I144" i="12" s="1"/>
  <c r="C147" i="12"/>
  <c r="D147" i="12" s="1"/>
  <c r="I147" i="12" s="1"/>
  <c r="C140" i="12"/>
  <c r="D140" i="12" s="1"/>
  <c r="I140" i="12" s="1"/>
  <c r="C142" i="12"/>
  <c r="D142" i="12" s="1"/>
  <c r="I142" i="12" s="1"/>
  <c r="C145" i="12"/>
  <c r="D145" i="12" s="1"/>
  <c r="I145" i="12" s="1"/>
  <c r="C148" i="12"/>
  <c r="D148" i="12" s="1"/>
  <c r="I148" i="12" s="1"/>
  <c r="C143" i="12"/>
  <c r="D143" i="12" s="1"/>
  <c r="I143" i="12" s="1"/>
  <c r="C146" i="12"/>
  <c r="D146" i="12" s="1"/>
  <c r="I146" i="12" s="1"/>
  <c r="C149" i="12"/>
  <c r="D149" i="12" s="1"/>
  <c r="I149" i="12" s="1"/>
  <c r="F50" i="45"/>
  <c r="G51" i="45"/>
  <c r="I98" i="45"/>
  <c r="I111" i="45"/>
  <c r="H179" i="12"/>
  <c r="H176" i="12"/>
  <c r="I97" i="45"/>
  <c r="G162" i="12"/>
  <c r="G163" i="12"/>
  <c r="G157" i="12"/>
  <c r="F162" i="12"/>
  <c r="F157" i="12"/>
  <c r="H175" i="12"/>
  <c r="H178" i="12"/>
  <c r="H129" i="12"/>
  <c r="H133" i="12"/>
  <c r="H171" i="12"/>
  <c r="H173" i="12"/>
  <c r="H126" i="12"/>
  <c r="I134" i="12"/>
  <c r="H131" i="12"/>
  <c r="H128" i="12"/>
  <c r="H125" i="12"/>
  <c r="I180" i="12"/>
  <c r="H130" i="12"/>
  <c r="H127" i="12"/>
  <c r="H177" i="12"/>
  <c r="H174" i="12"/>
  <c r="I118" i="12"/>
  <c r="G16" i="12"/>
  <c r="I81" i="12"/>
  <c r="I82" i="12"/>
  <c r="I79" i="12"/>
  <c r="I86" i="12"/>
  <c r="I80" i="12"/>
  <c r="I87" i="12"/>
  <c r="I78" i="12"/>
  <c r="I85" i="12"/>
  <c r="I83" i="12"/>
  <c r="I84" i="12"/>
  <c r="F40" i="12"/>
  <c r="F34" i="12"/>
  <c r="E114" i="45"/>
  <c r="F114" i="45" s="1"/>
  <c r="G114" i="45" s="1"/>
  <c r="G54" i="45"/>
  <c r="I103" i="45"/>
  <c r="G56" i="45"/>
  <c r="F57" i="45"/>
  <c r="E102" i="45"/>
  <c r="F102" i="45" s="1"/>
  <c r="G102" i="45" s="1"/>
  <c r="F52" i="45"/>
  <c r="E57" i="45"/>
  <c r="E94" i="45"/>
  <c r="F94" i="45" s="1"/>
  <c r="G94" i="45" s="1"/>
  <c r="I117" i="45"/>
  <c r="E116" i="45"/>
  <c r="F116" i="45" s="1"/>
  <c r="G116" i="45" s="1"/>
  <c r="E53" i="45"/>
  <c r="I112" i="45"/>
  <c r="E115" i="45"/>
  <c r="F115" i="45" s="1"/>
  <c r="G115" i="45" s="1"/>
  <c r="C34" i="45"/>
  <c r="C37" i="45"/>
  <c r="C40" i="45"/>
  <c r="C33" i="45"/>
  <c r="D33" i="45" s="1"/>
  <c r="I33" i="45" s="1"/>
  <c r="C35" i="45"/>
  <c r="C38" i="45"/>
  <c r="C41" i="45"/>
  <c r="C36" i="45"/>
  <c r="C39" i="45"/>
  <c r="C42" i="45"/>
  <c r="I101" i="45"/>
  <c r="I99" i="45"/>
  <c r="I113" i="45"/>
  <c r="E54" i="45"/>
  <c r="E56" i="45"/>
  <c r="G53" i="45"/>
  <c r="H184" i="45"/>
  <c r="H153" i="45"/>
  <c r="H162" i="45"/>
  <c r="G117" i="45"/>
  <c r="H117" i="45" s="1"/>
  <c r="G161" i="45"/>
  <c r="H161" i="45" s="1"/>
  <c r="H160" i="45"/>
  <c r="I163" i="45"/>
  <c r="H155" i="45"/>
  <c r="H154" i="45"/>
  <c r="H156" i="45"/>
  <c r="H158" i="45"/>
  <c r="H157" i="45"/>
  <c r="H159" i="45"/>
  <c r="H108" i="45"/>
  <c r="F100" i="45"/>
  <c r="G100" i="45" s="1"/>
  <c r="H109" i="45"/>
  <c r="H139" i="45"/>
  <c r="H110" i="45"/>
  <c r="H111" i="45"/>
  <c r="H112" i="45"/>
  <c r="H113" i="45"/>
  <c r="G96" i="45"/>
  <c r="H96" i="45" s="1"/>
  <c r="F101" i="45"/>
  <c r="G101" i="45" s="1"/>
  <c r="H99" i="45"/>
  <c r="H103" i="45"/>
  <c r="H95" i="45"/>
  <c r="H97" i="45"/>
  <c r="H98" i="45"/>
  <c r="F129" i="45"/>
  <c r="G129" i="45" s="1"/>
  <c r="H133" i="45"/>
  <c r="H125" i="45"/>
  <c r="H124" i="45"/>
  <c r="H128" i="45"/>
  <c r="H127" i="45"/>
  <c r="H130" i="45"/>
  <c r="H131" i="45"/>
  <c r="H132" i="45"/>
  <c r="H126" i="45"/>
  <c r="I118" i="45" l="1"/>
  <c r="H16" i="2"/>
  <c r="H40" i="52"/>
  <c r="G16" i="2"/>
  <c r="H629" i="11"/>
  <c r="H635" i="11"/>
  <c r="H628" i="11"/>
  <c r="F675" i="11"/>
  <c r="G675" i="11" s="1"/>
  <c r="H632" i="11"/>
  <c r="F677" i="11"/>
  <c r="G677" i="11" s="1"/>
  <c r="F673" i="11"/>
  <c r="G673" i="11" s="1"/>
  <c r="F689" i="11"/>
  <c r="G689" i="11" s="1"/>
  <c r="G620" i="11"/>
  <c r="F620" i="11"/>
  <c r="E620" i="11"/>
  <c r="E616" i="11"/>
  <c r="F616" i="11"/>
  <c r="G616" i="11"/>
  <c r="G617" i="11"/>
  <c r="E617" i="11"/>
  <c r="F617" i="11"/>
  <c r="F679" i="11"/>
  <c r="G679" i="11" s="1"/>
  <c r="F695" i="11"/>
  <c r="G695" i="11" s="1"/>
  <c r="F676" i="11"/>
  <c r="G676" i="11" s="1"/>
  <c r="H633" i="11"/>
  <c r="F690" i="11"/>
  <c r="G690" i="11" s="1"/>
  <c r="F694" i="11"/>
  <c r="G694" i="11" s="1"/>
  <c r="F681" i="11"/>
  <c r="G681" i="11" s="1"/>
  <c r="H634" i="11"/>
  <c r="F682" i="11"/>
  <c r="G682" i="11" s="1"/>
  <c r="H630" i="11"/>
  <c r="F688" i="11"/>
  <c r="G688" i="11" s="1"/>
  <c r="G613" i="11"/>
  <c r="E613" i="11"/>
  <c r="F613" i="11"/>
  <c r="F612" i="11"/>
  <c r="E612" i="11"/>
  <c r="G612" i="11"/>
  <c r="G618" i="11"/>
  <c r="F618" i="11"/>
  <c r="E618" i="11"/>
  <c r="F619" i="11"/>
  <c r="G619" i="11"/>
  <c r="E619" i="11"/>
  <c r="H636" i="11"/>
  <c r="H627" i="11"/>
  <c r="F693" i="11"/>
  <c r="G693" i="11" s="1"/>
  <c r="I697" i="11"/>
  <c r="F692" i="11"/>
  <c r="G692" i="11" s="1"/>
  <c r="I683" i="11"/>
  <c r="F674" i="11"/>
  <c r="G674" i="11" s="1"/>
  <c r="F696" i="11"/>
  <c r="G696" i="11" s="1"/>
  <c r="F691" i="11"/>
  <c r="G691" i="11" s="1"/>
  <c r="E615" i="11"/>
  <c r="G615" i="11"/>
  <c r="F615" i="11"/>
  <c r="G614" i="11"/>
  <c r="F614" i="11"/>
  <c r="E614" i="11"/>
  <c r="F621" i="11"/>
  <c r="E621" i="11"/>
  <c r="G621" i="11"/>
  <c r="F678" i="11"/>
  <c r="G678" i="11" s="1"/>
  <c r="F680" i="11"/>
  <c r="G680" i="11" s="1"/>
  <c r="H631" i="11"/>
  <c r="I637" i="11"/>
  <c r="C571" i="11" s="1"/>
  <c r="F687" i="11"/>
  <c r="G687" i="11" s="1"/>
  <c r="H48" i="45"/>
  <c r="H156" i="12"/>
  <c r="H160" i="12"/>
  <c r="H55" i="45"/>
  <c r="H158" i="12"/>
  <c r="H159" i="12"/>
  <c r="H163" i="12"/>
  <c r="H155" i="12"/>
  <c r="H50" i="45"/>
  <c r="H49" i="45"/>
  <c r="H161" i="12"/>
  <c r="H164" i="12"/>
  <c r="H52" i="45"/>
  <c r="H57" i="45"/>
  <c r="H54" i="45"/>
  <c r="H162" i="12"/>
  <c r="H51" i="45"/>
  <c r="I165" i="12"/>
  <c r="H157" i="12"/>
  <c r="E149" i="12"/>
  <c r="F149" i="12"/>
  <c r="G149" i="12"/>
  <c r="E148" i="12"/>
  <c r="F148" i="12"/>
  <c r="G148" i="12"/>
  <c r="E140" i="12"/>
  <c r="F140" i="12"/>
  <c r="G140" i="12"/>
  <c r="E146" i="12"/>
  <c r="F146" i="12"/>
  <c r="G146" i="12"/>
  <c r="E145" i="12"/>
  <c r="F145" i="12"/>
  <c r="G145" i="12"/>
  <c r="E147" i="12"/>
  <c r="G147" i="12"/>
  <c r="F147" i="12"/>
  <c r="E141" i="12"/>
  <c r="F141" i="12"/>
  <c r="G141" i="12"/>
  <c r="H56" i="45"/>
  <c r="H134" i="12"/>
  <c r="E143" i="12"/>
  <c r="F143" i="12"/>
  <c r="G143" i="12"/>
  <c r="E142" i="12"/>
  <c r="G142" i="12"/>
  <c r="F142" i="12"/>
  <c r="E144" i="12"/>
  <c r="F144" i="12"/>
  <c r="G144" i="12"/>
  <c r="H180" i="12"/>
  <c r="H85" i="12"/>
  <c r="H78" i="12"/>
  <c r="H86" i="12"/>
  <c r="H82" i="12"/>
  <c r="I88" i="12"/>
  <c r="H84" i="12"/>
  <c r="H83" i="12"/>
  <c r="H81" i="12"/>
  <c r="H87" i="12"/>
  <c r="H80" i="12"/>
  <c r="H79" i="12"/>
  <c r="F41" i="12"/>
  <c r="H114" i="45"/>
  <c r="H53" i="45"/>
  <c r="H102" i="45"/>
  <c r="H94" i="45"/>
  <c r="H115" i="45"/>
  <c r="I58" i="45"/>
  <c r="I104" i="45"/>
  <c r="G33" i="45"/>
  <c r="E33" i="45"/>
  <c r="F33" i="45"/>
  <c r="H163" i="45"/>
  <c r="H100" i="45"/>
  <c r="H116" i="45"/>
  <c r="H101" i="45"/>
  <c r="H129" i="45"/>
  <c r="H134" i="45" s="1"/>
  <c r="D42" i="45"/>
  <c r="I42" i="45" s="1"/>
  <c r="D41" i="45"/>
  <c r="I41" i="45" s="1"/>
  <c r="D40" i="45"/>
  <c r="I40" i="45" s="1"/>
  <c r="D39" i="45"/>
  <c r="I39" i="45" s="1"/>
  <c r="D38" i="45"/>
  <c r="I38" i="45" s="1"/>
  <c r="D37" i="45"/>
  <c r="I37" i="45" s="1"/>
  <c r="D36" i="45"/>
  <c r="I36" i="45" s="1"/>
  <c r="D35" i="45"/>
  <c r="I35" i="45" s="1"/>
  <c r="D34" i="45"/>
  <c r="I34" i="45" s="1"/>
  <c r="C64" i="45"/>
  <c r="C65" i="45"/>
  <c r="C66" i="45"/>
  <c r="C67" i="45"/>
  <c r="C68" i="45"/>
  <c r="C69" i="45"/>
  <c r="C70" i="45"/>
  <c r="C71" i="45"/>
  <c r="C72" i="45"/>
  <c r="C63" i="45"/>
  <c r="D63" i="45" s="1"/>
  <c r="E178" i="11"/>
  <c r="E179" i="11"/>
  <c r="E180" i="11"/>
  <c r="E181" i="11"/>
  <c r="E182" i="11"/>
  <c r="E183" i="11"/>
  <c r="E184" i="11"/>
  <c r="E185" i="11"/>
  <c r="E186" i="11"/>
  <c r="E187" i="11"/>
  <c r="E188" i="11"/>
  <c r="E189" i="11"/>
  <c r="E190" i="11"/>
  <c r="E191" i="11"/>
  <c r="D141" i="11"/>
  <c r="E141" i="11" s="1"/>
  <c r="D142" i="11"/>
  <c r="E142" i="11" s="1"/>
  <c r="D143" i="11"/>
  <c r="E143" i="11" s="1"/>
  <c r="D144" i="11"/>
  <c r="E144" i="11" s="1"/>
  <c r="D145" i="11"/>
  <c r="E145" i="11" s="1"/>
  <c r="D146" i="11"/>
  <c r="E146" i="11" s="1"/>
  <c r="D147" i="11"/>
  <c r="E147" i="11" s="1"/>
  <c r="D148" i="11"/>
  <c r="E148" i="11" s="1"/>
  <c r="D149" i="11"/>
  <c r="E149" i="11" s="1"/>
  <c r="D140" i="11"/>
  <c r="E140" i="11" s="1"/>
  <c r="F88" i="11"/>
  <c r="F86" i="11"/>
  <c r="F85" i="11"/>
  <c r="F87" i="11"/>
  <c r="F84" i="11"/>
  <c r="F82" i="11"/>
  <c r="F83" i="11"/>
  <c r="F81" i="11"/>
  <c r="F80" i="11"/>
  <c r="F78" i="11"/>
  <c r="F77" i="11"/>
  <c r="F79" i="11"/>
  <c r="F76" i="11"/>
  <c r="F74" i="11"/>
  <c r="F75" i="11"/>
  <c r="C572" i="11" l="1"/>
  <c r="H118" i="45"/>
  <c r="C575" i="11"/>
  <c r="H33" i="45"/>
  <c r="H696" i="11"/>
  <c r="H694" i="11"/>
  <c r="H677" i="11"/>
  <c r="H675" i="11"/>
  <c r="H619" i="11"/>
  <c r="H612" i="11"/>
  <c r="H695" i="11"/>
  <c r="H679" i="11"/>
  <c r="H614" i="11"/>
  <c r="H689" i="11"/>
  <c r="H680" i="11"/>
  <c r="H687" i="11"/>
  <c r="H678" i="11"/>
  <c r="H621" i="11"/>
  <c r="H615" i="11"/>
  <c r="H674" i="11"/>
  <c r="H692" i="11"/>
  <c r="H693" i="11"/>
  <c r="I622" i="11"/>
  <c r="H690" i="11"/>
  <c r="H676" i="11"/>
  <c r="H616" i="11"/>
  <c r="H691" i="11"/>
  <c r="H637" i="11"/>
  <c r="B571" i="11" s="1"/>
  <c r="H618" i="11"/>
  <c r="H613" i="11"/>
  <c r="H688" i="11"/>
  <c r="H682" i="11"/>
  <c r="H681" i="11"/>
  <c r="H617" i="11"/>
  <c r="H620" i="11"/>
  <c r="H673" i="11"/>
  <c r="F89" i="11"/>
  <c r="H165" i="12"/>
  <c r="H143" i="12"/>
  <c r="H58" i="45"/>
  <c r="H146" i="12"/>
  <c r="H142" i="12"/>
  <c r="H145" i="12"/>
  <c r="I150" i="12"/>
  <c r="C8" i="12" s="1"/>
  <c r="H148" i="12"/>
  <c r="H149" i="12"/>
  <c r="H140" i="12"/>
  <c r="H144" i="12"/>
  <c r="H141" i="12"/>
  <c r="H147" i="12"/>
  <c r="H88" i="12"/>
  <c r="H104" i="45"/>
  <c r="E34" i="45"/>
  <c r="G34" i="45"/>
  <c r="F34" i="45"/>
  <c r="E37" i="45"/>
  <c r="G37" i="45"/>
  <c r="F37" i="45"/>
  <c r="E40" i="45"/>
  <c r="G40" i="45"/>
  <c r="F40" i="45"/>
  <c r="E35" i="45"/>
  <c r="F35" i="45"/>
  <c r="G35" i="45"/>
  <c r="E38" i="45"/>
  <c r="F38" i="45"/>
  <c r="G38" i="45"/>
  <c r="E41" i="45"/>
  <c r="F41" i="45"/>
  <c r="G41" i="45"/>
  <c r="E36" i="45"/>
  <c r="G36" i="45"/>
  <c r="F36" i="45"/>
  <c r="E39" i="45"/>
  <c r="G39" i="45"/>
  <c r="F39" i="45"/>
  <c r="E42" i="45"/>
  <c r="G42" i="45"/>
  <c r="F42" i="45"/>
  <c r="B150" i="32"/>
  <c r="B149" i="32"/>
  <c r="B148" i="32"/>
  <c r="E152" i="32"/>
  <c r="H683" i="11" l="1"/>
  <c r="H622" i="11"/>
  <c r="H697" i="11"/>
  <c r="H150" i="12"/>
  <c r="B8" i="12" s="1"/>
  <c r="H34" i="45"/>
  <c r="H39" i="45"/>
  <c r="H41" i="45"/>
  <c r="H35" i="45"/>
  <c r="H37" i="45"/>
  <c r="H36" i="45"/>
  <c r="H38" i="45"/>
  <c r="H40" i="45"/>
  <c r="I43" i="45"/>
  <c r="H42" i="45"/>
  <c r="B572" i="11" l="1"/>
  <c r="B575" i="11" s="1"/>
  <c r="H43" i="45"/>
  <c r="B164" i="32"/>
  <c r="B165" i="32" s="1"/>
  <c r="B160" i="32"/>
  <c r="B159" i="32"/>
  <c r="B152" i="32"/>
  <c r="B153" i="32" s="1"/>
  <c r="B147" i="32"/>
  <c r="E164" i="32"/>
  <c r="E159" i="32"/>
  <c r="E153" i="32"/>
  <c r="E147" i="32"/>
  <c r="B163" i="32"/>
  <c r="B166" i="32" s="1"/>
  <c r="B162" i="32"/>
  <c r="B161" i="32"/>
  <c r="E165" i="32" l="1"/>
  <c r="K74" i="32" l="1"/>
  <c r="K73" i="32"/>
  <c r="K72" i="32"/>
  <c r="J72" i="32"/>
  <c r="K71" i="32"/>
  <c r="J71" i="32"/>
  <c r="K70" i="32"/>
  <c r="K69" i="32"/>
  <c r="K68" i="32"/>
  <c r="K67" i="32"/>
  <c r="K65" i="32"/>
  <c r="K64" i="32"/>
  <c r="K63" i="32"/>
  <c r="K62" i="32"/>
  <c r="K61" i="32"/>
  <c r="E67" i="32"/>
  <c r="K50" i="32" s="1"/>
  <c r="E68" i="32"/>
  <c r="K51" i="32" s="1"/>
  <c r="E75" i="32"/>
  <c r="E72" i="32"/>
  <c r="K53" i="32" s="1"/>
  <c r="K60" i="32"/>
  <c r="K59" i="32"/>
  <c r="K58" i="32"/>
  <c r="K57" i="32"/>
  <c r="K55" i="32"/>
  <c r="K54" i="32"/>
  <c r="K49" i="32"/>
  <c r="K48" i="32"/>
  <c r="J48" i="32"/>
  <c r="K47" i="32"/>
  <c r="J47" i="32"/>
  <c r="K46" i="32"/>
  <c r="K45" i="32"/>
  <c r="K36" i="32"/>
  <c r="K35" i="32"/>
  <c r="K34" i="32"/>
  <c r="K33" i="32"/>
  <c r="K32" i="32"/>
  <c r="K31" i="32"/>
  <c r="K30" i="32"/>
  <c r="K29" i="32"/>
  <c r="K28" i="32"/>
  <c r="K27" i="32"/>
  <c r="K26" i="32"/>
  <c r="K25" i="32"/>
  <c r="K24" i="32"/>
  <c r="K23" i="32"/>
  <c r="K22" i="32"/>
  <c r="K21" i="32"/>
  <c r="K20" i="32"/>
  <c r="K19" i="32"/>
  <c r="K17" i="32"/>
  <c r="K16" i="32"/>
  <c r="J11" i="32"/>
  <c r="K13" i="32"/>
  <c r="J13" i="32"/>
  <c r="K12" i="32"/>
  <c r="K11" i="32"/>
  <c r="K10" i="32"/>
  <c r="K9" i="32"/>
  <c r="K8" i="32"/>
  <c r="K7" i="32"/>
  <c r="K6" i="32"/>
  <c r="K5" i="32"/>
  <c r="K4" i="32"/>
  <c r="K3" i="32"/>
  <c r="K2" i="32"/>
  <c r="D1167" i="44" l="1"/>
  <c r="G99" i="11" s="1" a="1"/>
  <c r="G99" i="11" s="1"/>
  <c r="B8" i="11" l="1"/>
  <c r="L171" i="12" l="1"/>
  <c r="M171" i="12" s="1"/>
  <c r="N171" i="12" s="1"/>
  <c r="L174" i="12"/>
  <c r="M174" i="12" s="1"/>
  <c r="N174" i="12" s="1"/>
  <c r="L177" i="12"/>
  <c r="M177" i="12" s="1"/>
  <c r="N177" i="12" s="1"/>
  <c r="L81" i="12"/>
  <c r="M81" i="12" s="1"/>
  <c r="N81" i="12" s="1"/>
  <c r="L82" i="12"/>
  <c r="M82" i="12" s="1"/>
  <c r="N82" i="12" s="1"/>
  <c r="L87" i="12"/>
  <c r="M87" i="12" s="1"/>
  <c r="N87" i="12" s="1"/>
  <c r="D234" i="45"/>
  <c r="D230" i="45"/>
  <c r="D231" i="45"/>
  <c r="D232" i="45"/>
  <c r="D233" i="45"/>
  <c r="D235" i="45"/>
  <c r="D236" i="45"/>
  <c r="D237" i="45"/>
  <c r="D238" i="45"/>
  <c r="D229" i="45"/>
  <c r="D185" i="45"/>
  <c r="D186" i="45"/>
  <c r="D187" i="45"/>
  <c r="D188" i="45"/>
  <c r="D189" i="45"/>
  <c r="D190" i="45"/>
  <c r="D191" i="45"/>
  <c r="D192" i="45"/>
  <c r="D193" i="45"/>
  <c r="D72" i="45"/>
  <c r="E72" i="45" s="1"/>
  <c r="J72" i="45" s="1"/>
  <c r="D64" i="45"/>
  <c r="E64" i="45" s="1"/>
  <c r="J64" i="45" s="1"/>
  <c r="D66" i="45"/>
  <c r="E66" i="45" s="1"/>
  <c r="J66" i="45" s="1"/>
  <c r="D67" i="45"/>
  <c r="E67" i="45" s="1"/>
  <c r="J67" i="45" s="1"/>
  <c r="D69" i="45"/>
  <c r="E69" i="45" s="1"/>
  <c r="J69" i="45" s="1"/>
  <c r="D70" i="45"/>
  <c r="E70" i="45" s="1"/>
  <c r="J70" i="45" s="1"/>
  <c r="E63" i="45"/>
  <c r="J63" i="45" s="1"/>
  <c r="C223" i="45"/>
  <c r="D223" i="45" s="1"/>
  <c r="C222" i="45"/>
  <c r="C221" i="45"/>
  <c r="D221" i="45" s="1"/>
  <c r="C220" i="45"/>
  <c r="D220" i="45" s="1"/>
  <c r="C219" i="45"/>
  <c r="C218" i="45"/>
  <c r="D218" i="45" s="1"/>
  <c r="C217" i="45"/>
  <c r="D217" i="45" s="1"/>
  <c r="C216" i="45"/>
  <c r="D216" i="45" s="1"/>
  <c r="C215" i="45"/>
  <c r="C214" i="45"/>
  <c r="C209" i="45"/>
  <c r="C208" i="45"/>
  <c r="C207" i="45"/>
  <c r="D207" i="45" s="1"/>
  <c r="I207" i="45" s="1"/>
  <c r="C206" i="45"/>
  <c r="C205" i="45"/>
  <c r="D205" i="45" s="1"/>
  <c r="I205" i="45" s="1"/>
  <c r="C204" i="45"/>
  <c r="C203" i="45"/>
  <c r="D203" i="45" s="1"/>
  <c r="I203" i="45" s="1"/>
  <c r="C202" i="45"/>
  <c r="C201" i="45"/>
  <c r="C200" i="45"/>
  <c r="C178" i="45"/>
  <c r="D178" i="45" s="1"/>
  <c r="I178" i="45" s="1"/>
  <c r="C177" i="45"/>
  <c r="D177" i="45" s="1"/>
  <c r="I177" i="45" s="1"/>
  <c r="C176" i="45"/>
  <c r="D176" i="45" s="1"/>
  <c r="I176" i="45" s="1"/>
  <c r="C175" i="45"/>
  <c r="D175" i="45" s="1"/>
  <c r="I175" i="45" s="1"/>
  <c r="C174" i="45"/>
  <c r="D174" i="45" s="1"/>
  <c r="I174" i="45" s="1"/>
  <c r="C173" i="45"/>
  <c r="D173" i="45" s="1"/>
  <c r="I173" i="45" s="1"/>
  <c r="C172" i="45"/>
  <c r="D172" i="45" s="1"/>
  <c r="I172" i="45" s="1"/>
  <c r="C171" i="45"/>
  <c r="D171" i="45" s="1"/>
  <c r="I171" i="45" s="1"/>
  <c r="C170" i="45"/>
  <c r="D170" i="45" s="1"/>
  <c r="I170" i="45" s="1"/>
  <c r="C169" i="45"/>
  <c r="D169" i="45" s="1"/>
  <c r="I169" i="45" s="1"/>
  <c r="C148" i="45"/>
  <c r="D148" i="45" s="1"/>
  <c r="C147" i="45"/>
  <c r="D147" i="45" s="1"/>
  <c r="C146" i="45"/>
  <c r="D146" i="45" s="1"/>
  <c r="C145" i="45"/>
  <c r="D145" i="45" s="1"/>
  <c r="C144" i="45"/>
  <c r="D144" i="45" s="1"/>
  <c r="C143" i="45"/>
  <c r="D143" i="45" s="1"/>
  <c r="C142" i="45"/>
  <c r="D142" i="45" s="1"/>
  <c r="C141" i="45"/>
  <c r="D141" i="45" s="1"/>
  <c r="C140" i="45"/>
  <c r="D140" i="45" s="1"/>
  <c r="C88" i="45"/>
  <c r="D88" i="45" s="1"/>
  <c r="C87" i="45"/>
  <c r="C86" i="45"/>
  <c r="C85" i="45"/>
  <c r="C84" i="45"/>
  <c r="C83" i="45"/>
  <c r="C82" i="45"/>
  <c r="C81" i="45"/>
  <c r="D81" i="45" s="1"/>
  <c r="C80" i="45"/>
  <c r="C79" i="45"/>
  <c r="D79" i="45" s="1"/>
  <c r="D71" i="45"/>
  <c r="E71" i="45" s="1"/>
  <c r="J71" i="45" s="1"/>
  <c r="D68" i="45"/>
  <c r="E68" i="45" s="1"/>
  <c r="J68" i="45" s="1"/>
  <c r="D65" i="45"/>
  <c r="E65" i="45" s="1"/>
  <c r="J65" i="45" s="1"/>
  <c r="C26" i="45"/>
  <c r="D26" i="45" s="1"/>
  <c r="I26" i="45" s="1"/>
  <c r="C25" i="45"/>
  <c r="C24" i="45"/>
  <c r="D24" i="45" s="1"/>
  <c r="I24" i="45" s="1"/>
  <c r="C23" i="45"/>
  <c r="D23" i="45" s="1"/>
  <c r="I23" i="45" s="1"/>
  <c r="C22" i="45"/>
  <c r="C21" i="45"/>
  <c r="D21" i="45" s="1"/>
  <c r="I21" i="45" s="1"/>
  <c r="C20" i="45"/>
  <c r="D20" i="45" s="1"/>
  <c r="I20" i="45" s="1"/>
  <c r="C19" i="45"/>
  <c r="C18" i="45"/>
  <c r="D18" i="45" s="1"/>
  <c r="I18" i="45" s="1"/>
  <c r="C17" i="45"/>
  <c r="D17" i="45" s="1"/>
  <c r="I17" i="45" s="1"/>
  <c r="B62" i="3"/>
  <c r="B63" i="3" s="1"/>
  <c r="E73" i="3"/>
  <c r="F30" i="3"/>
  <c r="F29" i="3"/>
  <c r="F28" i="3"/>
  <c r="L163" i="12"/>
  <c r="M163" i="12" s="1"/>
  <c r="N163" i="12" s="1"/>
  <c r="L160" i="12"/>
  <c r="M160" i="12" s="1"/>
  <c r="N160" i="12" s="1"/>
  <c r="L157" i="12"/>
  <c r="M157" i="12" s="1"/>
  <c r="N157" i="12" s="1"/>
  <c r="L149" i="12"/>
  <c r="M149" i="12" s="1"/>
  <c r="N149" i="12" s="1"/>
  <c r="L146" i="12"/>
  <c r="M146" i="12" s="1"/>
  <c r="N146" i="12" s="1"/>
  <c r="L143" i="12"/>
  <c r="M143" i="12" s="1"/>
  <c r="N143" i="12" s="1"/>
  <c r="L140" i="12"/>
  <c r="M140" i="12" s="1"/>
  <c r="N140" i="12" s="1"/>
  <c r="L133" i="12"/>
  <c r="M133" i="12" s="1"/>
  <c r="N133" i="12" s="1"/>
  <c r="L132" i="12"/>
  <c r="M132" i="12" s="1"/>
  <c r="N132" i="12" s="1"/>
  <c r="L131" i="12"/>
  <c r="M131" i="12" s="1"/>
  <c r="N131" i="12" s="1"/>
  <c r="L130" i="12"/>
  <c r="M130" i="12" s="1"/>
  <c r="N130" i="12" s="1"/>
  <c r="L129" i="12"/>
  <c r="M129" i="12" s="1"/>
  <c r="N129" i="12" s="1"/>
  <c r="L128" i="12"/>
  <c r="M128" i="12" s="1"/>
  <c r="N128" i="12" s="1"/>
  <c r="L127" i="12"/>
  <c r="M127" i="12" s="1"/>
  <c r="N127" i="12" s="1"/>
  <c r="L126" i="12"/>
  <c r="M126" i="12" s="1"/>
  <c r="N126" i="12" s="1"/>
  <c r="L125" i="12"/>
  <c r="M125" i="12" s="1"/>
  <c r="N125" i="12" s="1"/>
  <c r="L124" i="12"/>
  <c r="M124" i="12" s="1"/>
  <c r="N124" i="12" s="1"/>
  <c r="L117" i="12"/>
  <c r="M117" i="12" s="1"/>
  <c r="N117" i="12" s="1"/>
  <c r="L116" i="12"/>
  <c r="M116" i="12" s="1"/>
  <c r="N116" i="12" s="1"/>
  <c r="L115" i="12"/>
  <c r="M115" i="12" s="1"/>
  <c r="N115" i="12" s="1"/>
  <c r="L114" i="12"/>
  <c r="M114" i="12" s="1"/>
  <c r="N114" i="12" s="1"/>
  <c r="L113" i="12"/>
  <c r="M113" i="12" s="1"/>
  <c r="N113" i="12" s="1"/>
  <c r="L112" i="12"/>
  <c r="M112" i="12" s="1"/>
  <c r="N112" i="12" s="1"/>
  <c r="L111" i="12"/>
  <c r="M111" i="12" s="1"/>
  <c r="N111" i="12" s="1"/>
  <c r="L110" i="12"/>
  <c r="M110" i="12" s="1"/>
  <c r="N110" i="12" s="1"/>
  <c r="L109" i="12"/>
  <c r="M109" i="12" s="1"/>
  <c r="N109" i="12" s="1"/>
  <c r="L108" i="12"/>
  <c r="M108" i="12" s="1"/>
  <c r="N108" i="12" s="1"/>
  <c r="L103" i="12"/>
  <c r="M103" i="12" s="1"/>
  <c r="N103" i="12" s="1"/>
  <c r="C103" i="12"/>
  <c r="D103" i="12" s="1"/>
  <c r="L102" i="12"/>
  <c r="M102" i="12" s="1"/>
  <c r="N102" i="12" s="1"/>
  <c r="C102" i="12"/>
  <c r="D102" i="12" s="1"/>
  <c r="L101" i="12"/>
  <c r="M101" i="12" s="1"/>
  <c r="N101" i="12" s="1"/>
  <c r="C101" i="12"/>
  <c r="D101" i="12" s="1"/>
  <c r="L100" i="12"/>
  <c r="M100" i="12" s="1"/>
  <c r="N100" i="12" s="1"/>
  <c r="C100" i="12"/>
  <c r="D100" i="12" s="1"/>
  <c r="L99" i="12"/>
  <c r="M99" i="12" s="1"/>
  <c r="N99" i="12" s="1"/>
  <c r="C99" i="12"/>
  <c r="D99" i="12" s="1"/>
  <c r="L98" i="12"/>
  <c r="M98" i="12" s="1"/>
  <c r="N98" i="12" s="1"/>
  <c r="C98" i="12"/>
  <c r="D98" i="12" s="1"/>
  <c r="L97" i="12"/>
  <c r="M97" i="12" s="1"/>
  <c r="N97" i="12" s="1"/>
  <c r="C97" i="12"/>
  <c r="D97" i="12" s="1"/>
  <c r="L96" i="12"/>
  <c r="M96" i="12" s="1"/>
  <c r="N96" i="12" s="1"/>
  <c r="C96" i="12"/>
  <c r="D96" i="12" s="1"/>
  <c r="L95" i="12"/>
  <c r="M95" i="12" s="1"/>
  <c r="N95" i="12" s="1"/>
  <c r="C95" i="12"/>
  <c r="D95" i="12" s="1"/>
  <c r="L94" i="12"/>
  <c r="M94" i="12" s="1"/>
  <c r="N94" i="12" s="1"/>
  <c r="C94" i="12"/>
  <c r="D94" i="12" s="1"/>
  <c r="L72" i="12"/>
  <c r="M72" i="12" s="1"/>
  <c r="N72" i="12" s="1"/>
  <c r="C72" i="12"/>
  <c r="L71" i="12"/>
  <c r="M71" i="12" s="1"/>
  <c r="N71" i="12" s="1"/>
  <c r="C71" i="12"/>
  <c r="L70" i="12"/>
  <c r="M70" i="12" s="1"/>
  <c r="N70" i="12" s="1"/>
  <c r="C70" i="12"/>
  <c r="L69" i="12"/>
  <c r="M69" i="12" s="1"/>
  <c r="N69" i="12" s="1"/>
  <c r="C69" i="12"/>
  <c r="L68" i="12"/>
  <c r="M68" i="12" s="1"/>
  <c r="N68" i="12" s="1"/>
  <c r="C68" i="12"/>
  <c r="L67" i="12"/>
  <c r="M67" i="12" s="1"/>
  <c r="N67" i="12" s="1"/>
  <c r="C67" i="12"/>
  <c r="L66" i="12"/>
  <c r="M66" i="12" s="1"/>
  <c r="N66" i="12" s="1"/>
  <c r="C66" i="12"/>
  <c r="L65" i="12"/>
  <c r="M65" i="12" s="1"/>
  <c r="N65" i="12" s="1"/>
  <c r="C65" i="12"/>
  <c r="L64" i="12"/>
  <c r="M64" i="12" s="1"/>
  <c r="N64" i="12" s="1"/>
  <c r="C64" i="12"/>
  <c r="L63" i="12"/>
  <c r="M63" i="12" s="1"/>
  <c r="N63" i="12" s="1"/>
  <c r="C63" i="12"/>
  <c r="C56" i="12"/>
  <c r="D56" i="12" s="1"/>
  <c r="C55" i="12"/>
  <c r="D55" i="12" s="1"/>
  <c r="C54" i="12"/>
  <c r="D54" i="12" s="1"/>
  <c r="C53" i="12"/>
  <c r="D53" i="12" s="1"/>
  <c r="C52" i="12"/>
  <c r="D52" i="12" s="1"/>
  <c r="C51" i="12"/>
  <c r="D51" i="12" s="1"/>
  <c r="C50" i="12"/>
  <c r="D50" i="12" s="1"/>
  <c r="C49" i="12"/>
  <c r="D49" i="12" s="1"/>
  <c r="C48" i="12"/>
  <c r="D48" i="12" s="1"/>
  <c r="C47" i="12"/>
  <c r="D47" i="12" s="1"/>
  <c r="I47" i="12" s="1"/>
  <c r="C25" i="12"/>
  <c r="C24" i="12"/>
  <c r="C23" i="12"/>
  <c r="C22" i="12"/>
  <c r="C21" i="12"/>
  <c r="C20" i="12"/>
  <c r="C19" i="12"/>
  <c r="C18" i="12"/>
  <c r="C17" i="12"/>
  <c r="D18" i="12" l="1"/>
  <c r="F18" i="12"/>
  <c r="E18" i="12"/>
  <c r="D21" i="12"/>
  <c r="E21" i="12"/>
  <c r="F21" i="12"/>
  <c r="D24" i="12"/>
  <c r="E24" i="12"/>
  <c r="F24" i="12"/>
  <c r="E96" i="12"/>
  <c r="F96" i="12"/>
  <c r="G96" i="12"/>
  <c r="E99" i="12"/>
  <c r="F99" i="12"/>
  <c r="G99" i="12"/>
  <c r="E102" i="12"/>
  <c r="G102" i="12"/>
  <c r="F102" i="12"/>
  <c r="D19" i="12"/>
  <c r="E19" i="12"/>
  <c r="F19" i="12"/>
  <c r="D22" i="12"/>
  <c r="E22" i="12"/>
  <c r="F22" i="12"/>
  <c r="D25" i="12"/>
  <c r="F25" i="12"/>
  <c r="E25" i="12"/>
  <c r="E95" i="12"/>
  <c r="G95" i="12"/>
  <c r="F95" i="12"/>
  <c r="E98" i="12"/>
  <c r="F98" i="12"/>
  <c r="G98" i="12"/>
  <c r="E101" i="12"/>
  <c r="F101" i="12"/>
  <c r="G101" i="12"/>
  <c r="D17" i="12"/>
  <c r="E17" i="12"/>
  <c r="F17" i="12"/>
  <c r="D20" i="12"/>
  <c r="F20" i="12"/>
  <c r="E20" i="12"/>
  <c r="D23" i="12"/>
  <c r="F23" i="12"/>
  <c r="E23" i="12"/>
  <c r="G94" i="12"/>
  <c r="E94" i="12"/>
  <c r="F94" i="12"/>
  <c r="E97" i="12"/>
  <c r="G97" i="12"/>
  <c r="F97" i="12"/>
  <c r="E100" i="12"/>
  <c r="G100" i="12"/>
  <c r="F100" i="12"/>
  <c r="E103" i="12"/>
  <c r="F103" i="12"/>
  <c r="G103" i="12"/>
  <c r="E79" i="45"/>
  <c r="F79" i="45" s="1"/>
  <c r="I79" i="45"/>
  <c r="D239" i="45"/>
  <c r="B5" i="3"/>
  <c r="F69" i="32" s="1"/>
  <c r="M52" i="32" s="1"/>
  <c r="H18" i="12"/>
  <c r="H21" i="12"/>
  <c r="H24" i="12"/>
  <c r="F48" i="12"/>
  <c r="E48" i="12"/>
  <c r="G48" i="12"/>
  <c r="F51" i="12"/>
  <c r="E51" i="12"/>
  <c r="G51" i="12"/>
  <c r="F54" i="12"/>
  <c r="E54" i="12"/>
  <c r="G54" i="12"/>
  <c r="I96" i="12"/>
  <c r="I99" i="12"/>
  <c r="I102" i="12"/>
  <c r="H19" i="12"/>
  <c r="H22" i="12"/>
  <c r="H25" i="12"/>
  <c r="F49" i="12"/>
  <c r="G49" i="12"/>
  <c r="E49" i="12"/>
  <c r="F52" i="12"/>
  <c r="G52" i="12"/>
  <c r="E52" i="12"/>
  <c r="F55" i="12"/>
  <c r="G55" i="12"/>
  <c r="E55" i="12"/>
  <c r="I95" i="12"/>
  <c r="I98" i="12"/>
  <c r="I101" i="12"/>
  <c r="H17" i="12"/>
  <c r="H20" i="12"/>
  <c r="H23" i="12"/>
  <c r="F47" i="12"/>
  <c r="G47" i="12"/>
  <c r="E47" i="12"/>
  <c r="F50" i="12"/>
  <c r="E50" i="12"/>
  <c r="G50" i="12"/>
  <c r="F53" i="12"/>
  <c r="E53" i="12"/>
  <c r="G53" i="12"/>
  <c r="F56" i="12"/>
  <c r="E56" i="12"/>
  <c r="G56" i="12"/>
  <c r="I94" i="12"/>
  <c r="I97" i="12"/>
  <c r="I100" i="12"/>
  <c r="I103" i="12"/>
  <c r="D63" i="12"/>
  <c r="D66" i="12"/>
  <c r="D69" i="12"/>
  <c r="D72" i="12"/>
  <c r="D65" i="12"/>
  <c r="D68" i="12"/>
  <c r="D71" i="12"/>
  <c r="D64" i="12"/>
  <c r="D67" i="12"/>
  <c r="D70" i="12"/>
  <c r="I48" i="12"/>
  <c r="I51" i="12"/>
  <c r="I54" i="12"/>
  <c r="I49" i="12"/>
  <c r="I52" i="12"/>
  <c r="I55" i="12"/>
  <c r="I50" i="12"/>
  <c r="I53" i="12"/>
  <c r="I56" i="12"/>
  <c r="L85" i="12"/>
  <c r="M85" i="12" s="1"/>
  <c r="N85" i="12" s="1"/>
  <c r="E218" i="45"/>
  <c r="F218" i="45" s="1"/>
  <c r="G218" i="45" s="1"/>
  <c r="I218" i="45"/>
  <c r="E221" i="45"/>
  <c r="F221" i="45" s="1"/>
  <c r="G221" i="45" s="1"/>
  <c r="I221" i="45"/>
  <c r="E216" i="45"/>
  <c r="F216" i="45" s="1"/>
  <c r="G216" i="45" s="1"/>
  <c r="I216" i="45"/>
  <c r="E217" i="45"/>
  <c r="F217" i="45" s="1"/>
  <c r="G217" i="45" s="1"/>
  <c r="I217" i="45"/>
  <c r="E220" i="45"/>
  <c r="F220" i="45" s="1"/>
  <c r="G220" i="45" s="1"/>
  <c r="I220" i="45"/>
  <c r="E223" i="45"/>
  <c r="F223" i="45" s="1"/>
  <c r="G223" i="45" s="1"/>
  <c r="I223" i="45"/>
  <c r="D214" i="45"/>
  <c r="I214" i="45" s="1"/>
  <c r="D215" i="45"/>
  <c r="D219" i="45"/>
  <c r="D222" i="45"/>
  <c r="I222" i="45" s="1"/>
  <c r="E205" i="45"/>
  <c r="F205" i="45"/>
  <c r="G205" i="45"/>
  <c r="E203" i="45"/>
  <c r="F203" i="45"/>
  <c r="G203" i="45"/>
  <c r="E207" i="45"/>
  <c r="F207" i="45"/>
  <c r="G207" i="45"/>
  <c r="D208" i="45"/>
  <c r="I208" i="45" s="1"/>
  <c r="D200" i="45"/>
  <c r="I200" i="45" s="1"/>
  <c r="D206" i="45"/>
  <c r="I206" i="45" s="1"/>
  <c r="D209" i="45"/>
  <c r="I209" i="45" s="1"/>
  <c r="D202" i="45"/>
  <c r="I202" i="45" s="1"/>
  <c r="D201" i="45"/>
  <c r="I201" i="45" s="1"/>
  <c r="D204" i="45"/>
  <c r="I204" i="45" s="1"/>
  <c r="E192" i="45"/>
  <c r="I192" i="45"/>
  <c r="F192" i="45"/>
  <c r="G192" i="45"/>
  <c r="E189" i="45"/>
  <c r="I189" i="45"/>
  <c r="G189" i="45"/>
  <c r="F189" i="45"/>
  <c r="E191" i="45"/>
  <c r="I191" i="45"/>
  <c r="F191" i="45"/>
  <c r="G191" i="45"/>
  <c r="E188" i="45"/>
  <c r="I188" i="45"/>
  <c r="F188" i="45"/>
  <c r="G188" i="45"/>
  <c r="E185" i="45"/>
  <c r="F185" i="45"/>
  <c r="I185" i="45"/>
  <c r="G185" i="45"/>
  <c r="E186" i="45"/>
  <c r="I186" i="45"/>
  <c r="F186" i="45"/>
  <c r="G186" i="45"/>
  <c r="E193" i="45"/>
  <c r="I193" i="45"/>
  <c r="F193" i="45"/>
  <c r="G193" i="45"/>
  <c r="E190" i="45"/>
  <c r="I190" i="45"/>
  <c r="F190" i="45"/>
  <c r="G190" i="45"/>
  <c r="E187" i="45"/>
  <c r="I187" i="45"/>
  <c r="F187" i="45"/>
  <c r="G187" i="45"/>
  <c r="I179" i="45"/>
  <c r="G171" i="45"/>
  <c r="E171" i="45"/>
  <c r="F171" i="45"/>
  <c r="G174" i="45"/>
  <c r="E174" i="45"/>
  <c r="F174" i="45"/>
  <c r="G177" i="45"/>
  <c r="E177" i="45"/>
  <c r="F177" i="45"/>
  <c r="G169" i="45"/>
  <c r="F169" i="45"/>
  <c r="E169" i="45"/>
  <c r="F172" i="45"/>
  <c r="G172" i="45"/>
  <c r="E172" i="45"/>
  <c r="F175" i="45"/>
  <c r="G175" i="45"/>
  <c r="E175" i="45"/>
  <c r="F178" i="45"/>
  <c r="E178" i="45"/>
  <c r="G178" i="45"/>
  <c r="G170" i="45"/>
  <c r="E170" i="45"/>
  <c r="F170" i="45"/>
  <c r="G173" i="45"/>
  <c r="E173" i="45"/>
  <c r="F173" i="45"/>
  <c r="G176" i="45"/>
  <c r="E176" i="45"/>
  <c r="F176" i="45"/>
  <c r="E142" i="45"/>
  <c r="I142" i="45"/>
  <c r="E145" i="45"/>
  <c r="I145" i="45"/>
  <c r="E148" i="45"/>
  <c r="I148" i="45"/>
  <c r="E140" i="45"/>
  <c r="I140" i="45"/>
  <c r="E143" i="45"/>
  <c r="I143" i="45"/>
  <c r="E146" i="45"/>
  <c r="I146" i="45"/>
  <c r="E141" i="45"/>
  <c r="I141" i="45"/>
  <c r="E144" i="45"/>
  <c r="I144" i="45"/>
  <c r="E147" i="45"/>
  <c r="I147" i="45"/>
  <c r="I81" i="45"/>
  <c r="E81" i="45"/>
  <c r="F81" i="45" s="1"/>
  <c r="G81" i="45" s="1"/>
  <c r="G79" i="45"/>
  <c r="I88" i="45"/>
  <c r="E88" i="45"/>
  <c r="F88" i="45" s="1"/>
  <c r="G88" i="45" s="1"/>
  <c r="G21" i="45"/>
  <c r="F21" i="45"/>
  <c r="H64" i="45"/>
  <c r="G64" i="45"/>
  <c r="H68" i="45"/>
  <c r="G68" i="45"/>
  <c r="G63" i="45"/>
  <c r="H63" i="45"/>
  <c r="H67" i="45"/>
  <c r="G67" i="45"/>
  <c r="G72" i="45"/>
  <c r="H72" i="45"/>
  <c r="G18" i="45"/>
  <c r="F18" i="45"/>
  <c r="G24" i="45"/>
  <c r="F24" i="45"/>
  <c r="H65" i="45"/>
  <c r="G65" i="45"/>
  <c r="G69" i="45"/>
  <c r="H69" i="45"/>
  <c r="G17" i="45"/>
  <c r="F17" i="45"/>
  <c r="G20" i="45"/>
  <c r="F20" i="45"/>
  <c r="G23" i="45"/>
  <c r="F23" i="45"/>
  <c r="G26" i="45"/>
  <c r="F26" i="45"/>
  <c r="H71" i="45"/>
  <c r="G71" i="45"/>
  <c r="H70" i="45"/>
  <c r="G70" i="45"/>
  <c r="G66" i="45"/>
  <c r="H66" i="45"/>
  <c r="D85" i="45"/>
  <c r="D80" i="45"/>
  <c r="D83" i="45"/>
  <c r="D86" i="45"/>
  <c r="D82" i="45"/>
  <c r="D84" i="45"/>
  <c r="D87" i="45"/>
  <c r="F64" i="45"/>
  <c r="F68" i="45"/>
  <c r="F69" i="45"/>
  <c r="F66" i="45"/>
  <c r="F72" i="45"/>
  <c r="F65" i="45"/>
  <c r="F70" i="45"/>
  <c r="F67" i="45"/>
  <c r="F71" i="45"/>
  <c r="F63" i="45"/>
  <c r="E17" i="45"/>
  <c r="E20" i="45"/>
  <c r="E23" i="45"/>
  <c r="E26" i="45"/>
  <c r="E18" i="45"/>
  <c r="E21" i="45"/>
  <c r="E24" i="45"/>
  <c r="D19" i="45"/>
  <c r="I19" i="45" s="1"/>
  <c r="D22" i="45"/>
  <c r="I22" i="45" s="1"/>
  <c r="D25" i="45"/>
  <c r="I25" i="45" s="1"/>
  <c r="B4" i="3"/>
  <c r="L79" i="12"/>
  <c r="M79" i="12" s="1"/>
  <c r="N79" i="12" s="1"/>
  <c r="F70" i="32"/>
  <c r="L52" i="32" s="1"/>
  <c r="L84" i="12"/>
  <c r="M84" i="12" s="1"/>
  <c r="N84" i="12" s="1"/>
  <c r="L78" i="12"/>
  <c r="M78" i="12" s="1"/>
  <c r="N78" i="12" s="1"/>
  <c r="L83" i="12"/>
  <c r="M83" i="12" s="1"/>
  <c r="N83" i="12" s="1"/>
  <c r="L80" i="12"/>
  <c r="M80" i="12" s="1"/>
  <c r="N80" i="12" s="1"/>
  <c r="L86" i="12"/>
  <c r="M86" i="12" s="1"/>
  <c r="N86" i="12" s="1"/>
  <c r="L170" i="12"/>
  <c r="M170" i="12" s="1"/>
  <c r="N170" i="12" s="1"/>
  <c r="L173" i="12"/>
  <c r="M173" i="12" s="1"/>
  <c r="N173" i="12" s="1"/>
  <c r="L176" i="12"/>
  <c r="M176" i="12" s="1"/>
  <c r="N176" i="12" s="1"/>
  <c r="L179" i="12"/>
  <c r="M179" i="12" s="1"/>
  <c r="N179" i="12" s="1"/>
  <c r="L142" i="12"/>
  <c r="M142" i="12" s="1"/>
  <c r="N142" i="12" s="1"/>
  <c r="L145" i="12"/>
  <c r="M145" i="12" s="1"/>
  <c r="N145" i="12" s="1"/>
  <c r="L148" i="12"/>
  <c r="M148" i="12" s="1"/>
  <c r="N148" i="12" s="1"/>
  <c r="L156" i="12"/>
  <c r="M156" i="12" s="1"/>
  <c r="N156" i="12" s="1"/>
  <c r="L159" i="12"/>
  <c r="M159" i="12" s="1"/>
  <c r="N159" i="12" s="1"/>
  <c r="L162" i="12"/>
  <c r="M162" i="12" s="1"/>
  <c r="N162" i="12" s="1"/>
  <c r="L172" i="12"/>
  <c r="M172" i="12" s="1"/>
  <c r="N172" i="12" s="1"/>
  <c r="L175" i="12"/>
  <c r="M175" i="12" s="1"/>
  <c r="N175" i="12" s="1"/>
  <c r="L178" i="12"/>
  <c r="M178" i="12" s="1"/>
  <c r="N178" i="12" s="1"/>
  <c r="L141" i="12"/>
  <c r="M141" i="12" s="1"/>
  <c r="N141" i="12" s="1"/>
  <c r="L144" i="12"/>
  <c r="M144" i="12" s="1"/>
  <c r="N144" i="12" s="1"/>
  <c r="L147" i="12"/>
  <c r="M147" i="12" s="1"/>
  <c r="N147" i="12" s="1"/>
  <c r="L155" i="12"/>
  <c r="M155" i="12" s="1"/>
  <c r="N155" i="12" s="1"/>
  <c r="L158" i="12"/>
  <c r="M158" i="12" s="1"/>
  <c r="N158" i="12" s="1"/>
  <c r="L161" i="12"/>
  <c r="M161" i="12" s="1"/>
  <c r="N161" i="12" s="1"/>
  <c r="L164" i="12"/>
  <c r="M164" i="12" s="1"/>
  <c r="N164" i="12" s="1"/>
  <c r="E71" i="12" l="1"/>
  <c r="G71" i="12"/>
  <c r="F71" i="12"/>
  <c r="G70" i="12"/>
  <c r="E70" i="12"/>
  <c r="F70" i="12"/>
  <c r="F72" i="12"/>
  <c r="G72" i="12"/>
  <c r="E72" i="12"/>
  <c r="G67" i="12"/>
  <c r="F67" i="12"/>
  <c r="E67" i="12"/>
  <c r="E68" i="12"/>
  <c r="G68" i="12"/>
  <c r="F68" i="12"/>
  <c r="F69" i="12"/>
  <c r="G69" i="12"/>
  <c r="E69" i="12"/>
  <c r="E65" i="12"/>
  <c r="G65" i="12"/>
  <c r="F65" i="12"/>
  <c r="F66" i="12"/>
  <c r="G66" i="12"/>
  <c r="E66" i="12"/>
  <c r="G63" i="12"/>
  <c r="F63" i="12"/>
  <c r="E63" i="12"/>
  <c r="G64" i="12"/>
  <c r="F64" i="12"/>
  <c r="E64" i="12"/>
  <c r="H17" i="45"/>
  <c r="H47" i="12"/>
  <c r="G24" i="12"/>
  <c r="H26" i="12"/>
  <c r="G17" i="12"/>
  <c r="G21" i="12"/>
  <c r="I64" i="12"/>
  <c r="I65" i="12"/>
  <c r="I66" i="12"/>
  <c r="I57" i="12"/>
  <c r="I70" i="12"/>
  <c r="I71" i="12"/>
  <c r="I72" i="12"/>
  <c r="I63" i="12"/>
  <c r="G23" i="12"/>
  <c r="G22" i="12"/>
  <c r="G18" i="12"/>
  <c r="I67" i="12"/>
  <c r="I68" i="12"/>
  <c r="I69" i="12"/>
  <c r="I104" i="12"/>
  <c r="G20" i="12"/>
  <c r="G25" i="12"/>
  <c r="G19" i="12"/>
  <c r="H48" i="12"/>
  <c r="H50" i="12"/>
  <c r="H97" i="12"/>
  <c r="H94" i="12"/>
  <c r="E219" i="45"/>
  <c r="F219" i="45" s="1"/>
  <c r="G219" i="45" s="1"/>
  <c r="I219" i="45"/>
  <c r="E215" i="45"/>
  <c r="F215" i="45" s="1"/>
  <c r="G215" i="45" s="1"/>
  <c r="I215" i="45"/>
  <c r="E222" i="45"/>
  <c r="F222" i="45" s="1"/>
  <c r="G222" i="45" s="1"/>
  <c r="E214" i="45"/>
  <c r="F214" i="45" s="1"/>
  <c r="G214" i="45" s="1"/>
  <c r="I210" i="45"/>
  <c r="E201" i="45"/>
  <c r="F201" i="45"/>
  <c r="G201" i="45"/>
  <c r="E206" i="45"/>
  <c r="F206" i="45"/>
  <c r="G206" i="45"/>
  <c r="E202" i="45"/>
  <c r="F202" i="45"/>
  <c r="G202" i="45"/>
  <c r="G200" i="45"/>
  <c r="F200" i="45"/>
  <c r="E200" i="45"/>
  <c r="H186" i="45"/>
  <c r="E204" i="45"/>
  <c r="F204" i="45"/>
  <c r="G204" i="45"/>
  <c r="E209" i="45"/>
  <c r="F209" i="45"/>
  <c r="G209" i="45"/>
  <c r="E208" i="45"/>
  <c r="F208" i="45"/>
  <c r="G208" i="45"/>
  <c r="H190" i="45"/>
  <c r="H187" i="45"/>
  <c r="H191" i="45"/>
  <c r="H185" i="45"/>
  <c r="H189" i="45"/>
  <c r="H193" i="45"/>
  <c r="I194" i="45"/>
  <c r="C8" i="45" s="1"/>
  <c r="H188" i="45"/>
  <c r="H192" i="45"/>
  <c r="I72" i="45"/>
  <c r="H175" i="45"/>
  <c r="H170" i="45"/>
  <c r="F147" i="45"/>
  <c r="G147" i="45" s="1"/>
  <c r="F146" i="45"/>
  <c r="G146" i="45" s="1"/>
  <c r="I149" i="45"/>
  <c r="C7" i="45" s="1"/>
  <c r="F144" i="45"/>
  <c r="G144" i="45" s="1"/>
  <c r="F143" i="45"/>
  <c r="G143" i="45" s="1"/>
  <c r="F145" i="45"/>
  <c r="G145" i="45" s="1"/>
  <c r="F148" i="45"/>
  <c r="G148" i="45" s="1"/>
  <c r="I67" i="45"/>
  <c r="F141" i="45"/>
  <c r="G141" i="45" s="1"/>
  <c r="F140" i="45"/>
  <c r="G140" i="45" s="1"/>
  <c r="F142" i="45"/>
  <c r="G142" i="45" s="1"/>
  <c r="I82" i="45"/>
  <c r="E82" i="45"/>
  <c r="F82" i="45" s="1"/>
  <c r="G82" i="45" s="1"/>
  <c r="E80" i="45"/>
  <c r="F80" i="45" s="1"/>
  <c r="G80" i="45" s="1"/>
  <c r="I80" i="45"/>
  <c r="I89" i="45" s="1"/>
  <c r="I87" i="45"/>
  <c r="E87" i="45"/>
  <c r="F87" i="45" s="1"/>
  <c r="G87" i="45" s="1"/>
  <c r="E86" i="45"/>
  <c r="F86" i="45" s="1"/>
  <c r="G86" i="45" s="1"/>
  <c r="I86" i="45"/>
  <c r="I85" i="45"/>
  <c r="E85" i="45"/>
  <c r="F85" i="45" s="1"/>
  <c r="G85" i="45" s="1"/>
  <c r="I84" i="45"/>
  <c r="E84" i="45"/>
  <c r="F84" i="45" s="1"/>
  <c r="G84" i="45" s="1"/>
  <c r="E83" i="45"/>
  <c r="F83" i="45" s="1"/>
  <c r="G83" i="45" s="1"/>
  <c r="I83" i="45"/>
  <c r="F22" i="45"/>
  <c r="G22" i="45"/>
  <c r="F25" i="45"/>
  <c r="G25" i="45"/>
  <c r="F19" i="45"/>
  <c r="G19" i="45"/>
  <c r="I68" i="45"/>
  <c r="I71" i="45"/>
  <c r="I69" i="45"/>
  <c r="I27" i="45"/>
  <c r="J73" i="45"/>
  <c r="I65" i="45"/>
  <c r="I70" i="45"/>
  <c r="I66" i="45"/>
  <c r="I64" i="45"/>
  <c r="I63" i="45"/>
  <c r="H18" i="45"/>
  <c r="H20" i="45"/>
  <c r="H21" i="45"/>
  <c r="H23" i="45"/>
  <c r="H24" i="45"/>
  <c r="H26" i="45"/>
  <c r="E25" i="45"/>
  <c r="E22" i="45"/>
  <c r="E19" i="45"/>
  <c r="H171" i="45"/>
  <c r="H218" i="45"/>
  <c r="H79" i="45"/>
  <c r="H221" i="45"/>
  <c r="H114" i="12"/>
  <c r="H109" i="12"/>
  <c r="H103" i="12"/>
  <c r="G6" i="12"/>
  <c r="H115" i="12"/>
  <c r="H178" i="45"/>
  <c r="H219" i="45"/>
  <c r="H88" i="45"/>
  <c r="H205" i="45"/>
  <c r="H174" i="45"/>
  <c r="H177" i="45"/>
  <c r="H112" i="12"/>
  <c r="H6" i="12"/>
  <c r="B66" i="3" s="1"/>
  <c r="C66" i="3" s="1"/>
  <c r="H217" i="45"/>
  <c r="H173" i="45"/>
  <c r="H172" i="45"/>
  <c r="H81" i="45"/>
  <c r="H220" i="45"/>
  <c r="H207" i="45"/>
  <c r="H169" i="45"/>
  <c r="H223" i="45"/>
  <c r="H216" i="45"/>
  <c r="H203" i="45"/>
  <c r="H176" i="45"/>
  <c r="H116" i="12"/>
  <c r="H98" i="12"/>
  <c r="H111" i="12"/>
  <c r="H110" i="12"/>
  <c r="H102" i="12"/>
  <c r="H96" i="12"/>
  <c r="H113" i="12"/>
  <c r="F7" i="32"/>
  <c r="L5" i="32" s="1"/>
  <c r="M5" i="32" s="1"/>
  <c r="H99" i="12"/>
  <c r="H100" i="12"/>
  <c r="H95" i="12"/>
  <c r="H117" i="12"/>
  <c r="H101" i="12"/>
  <c r="H108" i="12"/>
  <c r="C7" i="12"/>
  <c r="H63" i="12" l="1"/>
  <c r="C5" i="12"/>
  <c r="I224" i="45"/>
  <c r="C9" i="45" s="1"/>
  <c r="H70" i="12"/>
  <c r="H66" i="12"/>
  <c r="H71" i="12"/>
  <c r="H118" i="12"/>
  <c r="H67" i="12"/>
  <c r="H69" i="12"/>
  <c r="H68" i="12"/>
  <c r="H72" i="12"/>
  <c r="H65" i="12"/>
  <c r="I73" i="12"/>
  <c r="C6" i="12" s="1"/>
  <c r="H64" i="12"/>
  <c r="H104" i="12"/>
  <c r="H54" i="12"/>
  <c r="C68" i="3"/>
  <c r="B73" i="3" s="1"/>
  <c r="H55" i="12"/>
  <c r="H52" i="12"/>
  <c r="H53" i="12"/>
  <c r="H56" i="12"/>
  <c r="H51" i="12"/>
  <c r="H49" i="12"/>
  <c r="H215" i="45"/>
  <c r="H222" i="45"/>
  <c r="H202" i="45"/>
  <c r="H214" i="45"/>
  <c r="H200" i="45"/>
  <c r="H208" i="45"/>
  <c r="H209" i="45"/>
  <c r="H204" i="45"/>
  <c r="H206" i="45"/>
  <c r="H201" i="45"/>
  <c r="H194" i="45"/>
  <c r="H83" i="45"/>
  <c r="H85" i="45"/>
  <c r="H86" i="45"/>
  <c r="H179" i="45"/>
  <c r="H143" i="45"/>
  <c r="H82" i="45"/>
  <c r="H142" i="45"/>
  <c r="H147" i="45"/>
  <c r="H148" i="45"/>
  <c r="H140" i="45"/>
  <c r="H145" i="45"/>
  <c r="H141" i="45"/>
  <c r="H144" i="45"/>
  <c r="H146" i="45"/>
  <c r="C6" i="45"/>
  <c r="H80" i="45"/>
  <c r="H87" i="45"/>
  <c r="H84" i="45"/>
  <c r="C5" i="45"/>
  <c r="I73" i="45"/>
  <c r="H22" i="45"/>
  <c r="H19" i="45"/>
  <c r="H25" i="45"/>
  <c r="H89" i="45" l="1"/>
  <c r="B6" i="45" s="1"/>
  <c r="F73" i="3"/>
  <c r="G73" i="3" s="1"/>
  <c r="B72" i="3" s="1"/>
  <c r="C9" i="12"/>
  <c r="F65" i="32" s="1"/>
  <c r="L48" i="32" s="1"/>
  <c r="M48" i="32" s="1"/>
  <c r="B7" i="12"/>
  <c r="H73" i="12"/>
  <c r="B6" i="12" s="1"/>
  <c r="H57" i="12"/>
  <c r="G26" i="12"/>
  <c r="C10" i="45"/>
  <c r="F66" i="32" s="1"/>
  <c r="B8" i="45"/>
  <c r="H224" i="45"/>
  <c r="H210" i="45"/>
  <c r="H149" i="45"/>
  <c r="B7" i="45" s="1"/>
  <c r="H27" i="45"/>
  <c r="B5" i="45" s="1"/>
  <c r="B74" i="3" l="1"/>
  <c r="B8" i="3" s="1"/>
  <c r="L49" i="32"/>
  <c r="M49" i="32" s="1"/>
  <c r="E40" i="59"/>
  <c r="B5" i="12"/>
  <c r="B9" i="12" s="1"/>
  <c r="B9" i="45"/>
  <c r="B10" i="45" s="1"/>
  <c r="G68" i="60"/>
  <c r="B151" i="32" s="1"/>
  <c r="E53" i="59"/>
  <c r="E42" i="59"/>
  <c r="E57" i="59"/>
  <c r="G76" i="60" l="1"/>
  <c r="B154" i="32"/>
  <c r="G71" i="60"/>
  <c r="H65" i="60"/>
  <c r="H66" i="60"/>
  <c r="H67" i="60"/>
  <c r="F72" i="32" l="1"/>
  <c r="L53" i="32" s="1"/>
  <c r="M53" i="32" s="1"/>
  <c r="E30" i="59" l="1"/>
  <c r="A5" i="10"/>
  <c r="E58" i="32"/>
  <c r="K44" i="32" s="1"/>
  <c r="E52" i="32"/>
  <c r="K38" i="32" s="1"/>
  <c r="E53" i="32"/>
  <c r="K39" i="32" s="1"/>
  <c r="E54" i="32"/>
  <c r="K40" i="32" s="1"/>
  <c r="E55" i="32"/>
  <c r="K41" i="32" s="1"/>
  <c r="E56" i="32"/>
  <c r="K42" i="32" s="1"/>
  <c r="E57" i="32"/>
  <c r="K43" i="32" s="1"/>
  <c r="E51" i="32"/>
  <c r="K37" i="32" s="1"/>
  <c r="F53" i="32"/>
  <c r="L39" i="32" s="1"/>
  <c r="M39" i="32" s="1"/>
  <c r="C380" i="11"/>
  <c r="D380" i="11" s="1"/>
  <c r="I380" i="11" s="1"/>
  <c r="C379" i="11"/>
  <c r="D379" i="11" s="1"/>
  <c r="I379" i="11" s="1"/>
  <c r="C378" i="11"/>
  <c r="D378" i="11" s="1"/>
  <c r="I378" i="11" s="1"/>
  <c r="C377" i="11"/>
  <c r="D377" i="11" s="1"/>
  <c r="I377" i="11" s="1"/>
  <c r="C376" i="11"/>
  <c r="D376" i="11" s="1"/>
  <c r="I376" i="11" s="1"/>
  <c r="D170" i="11"/>
  <c r="D169" i="11"/>
  <c r="D168" i="11"/>
  <c r="D167" i="11"/>
  <c r="D166" i="11"/>
  <c r="D165" i="11"/>
  <c r="D164" i="11"/>
  <c r="D163" i="11"/>
  <c r="D162" i="11"/>
  <c r="D161" i="11"/>
  <c r="C157" i="11"/>
  <c r="C134" i="11"/>
  <c r="D134" i="11" s="1"/>
  <c r="C133" i="11"/>
  <c r="D133" i="11" s="1"/>
  <c r="C132" i="11"/>
  <c r="D132" i="11" s="1"/>
  <c r="C131" i="11"/>
  <c r="D131" i="11" s="1"/>
  <c r="C130" i="11"/>
  <c r="D130" i="11" s="1"/>
  <c r="C129" i="11"/>
  <c r="D129" i="11" s="1"/>
  <c r="C128" i="11"/>
  <c r="D128" i="11" s="1"/>
  <c r="C127" i="11"/>
  <c r="D127" i="11" s="1"/>
  <c r="C126" i="11"/>
  <c r="D126" i="11" s="1"/>
  <c r="C125" i="11"/>
  <c r="D125" i="11" s="1"/>
  <c r="C99" i="11"/>
  <c r="C98" i="11"/>
  <c r="C97" i="11"/>
  <c r="C96" i="11"/>
  <c r="C95" i="11"/>
  <c r="D62" i="6"/>
  <c r="E62" i="6" s="1"/>
  <c r="F62" i="6" s="1"/>
  <c r="G62" i="6" s="1"/>
  <c r="D61" i="6"/>
  <c r="E61" i="6" s="1"/>
  <c r="F61" i="6" s="1"/>
  <c r="G61" i="6" s="1"/>
  <c r="B18" i="6" s="1"/>
  <c r="F46" i="32" s="1"/>
  <c r="D60" i="6"/>
  <c r="E60" i="6" s="1"/>
  <c r="F60" i="6" s="1"/>
  <c r="G60" i="6" s="1"/>
  <c r="B17" i="6" s="1"/>
  <c r="F45" i="32" s="1"/>
  <c r="L32" i="32" s="1"/>
  <c r="M32" i="32" s="1"/>
  <c r="H92" i="60"/>
  <c r="H90" i="60"/>
  <c r="H89" i="60"/>
  <c r="B19" i="6" l="1"/>
  <c r="F47" i="32" s="1"/>
  <c r="L34" i="32" s="1"/>
  <c r="M34" i="32" s="1"/>
  <c r="L33" i="32"/>
  <c r="M33" i="32" s="1"/>
  <c r="E28" i="59"/>
  <c r="F75" i="32"/>
  <c r="L56" i="32" s="1"/>
  <c r="M56" i="32" s="1"/>
  <c r="E20" i="59"/>
  <c r="D171" i="11"/>
  <c r="B6" i="11"/>
  <c r="F51" i="32" s="1"/>
  <c r="L37" i="32" s="1"/>
  <c r="M37" i="32" s="1"/>
  <c r="E150" i="11"/>
  <c r="B10" i="11" s="1"/>
  <c r="F55" i="32" s="1"/>
  <c r="C100" i="11"/>
  <c r="B7" i="11" s="1"/>
  <c r="F52" i="32" s="1"/>
  <c r="L38" i="32" s="1"/>
  <c r="M38" i="32" s="1"/>
  <c r="D135" i="11"/>
  <c r="B9" i="11" s="1"/>
  <c r="F54" i="32" s="1"/>
  <c r="L40" i="32" s="1"/>
  <c r="M40" i="32" s="1"/>
  <c r="E192" i="11"/>
  <c r="L41" i="32" l="1"/>
  <c r="M41" i="32" s="1"/>
  <c r="B12" i="11"/>
  <c r="F57" i="32" s="1"/>
  <c r="B11" i="11"/>
  <c r="F56" i="32" s="1"/>
  <c r="L42" i="32" s="1"/>
  <c r="M42" i="32" s="1"/>
  <c r="E18" i="59"/>
  <c r="I381" i="11"/>
  <c r="B15" i="11" s="1"/>
  <c r="F58" i="32" s="1"/>
  <c r="L44" i="32" s="1"/>
  <c r="M44" i="32" s="1"/>
  <c r="E24" i="59"/>
  <c r="E21" i="59" l="1"/>
  <c r="L43" i="32"/>
  <c r="M43" i="32" s="1"/>
  <c r="E22" i="59"/>
  <c r="B456" i="11"/>
  <c r="C456" i="11"/>
  <c r="B17" i="11" l="1"/>
  <c r="F68" i="32" s="1"/>
  <c r="L51" i="32" s="1"/>
  <c r="M51" i="32" s="1"/>
  <c r="B18" i="11"/>
  <c r="F67" i="32" s="1"/>
  <c r="E36" i="59" s="1"/>
  <c r="E37" i="59" l="1"/>
  <c r="E35" i="59"/>
  <c r="F64" i="32"/>
  <c r="L50" i="32"/>
  <c r="M50" i="32" s="1"/>
  <c r="D1017" i="44"/>
  <c r="E9" i="57" l="1"/>
  <c r="F9" i="57" s="1"/>
  <c r="E283" i="11"/>
  <c r="F283" i="11" s="1"/>
  <c r="E282" i="11"/>
  <c r="F282" i="11" s="1"/>
  <c r="E281" i="11"/>
  <c r="F281" i="11" s="1"/>
  <c r="E280" i="11"/>
  <c r="F280" i="11" s="1"/>
  <c r="E279" i="11"/>
  <c r="F279" i="11" s="1"/>
  <c r="E271" i="11"/>
  <c r="F271" i="11" s="1"/>
  <c r="E270" i="11"/>
  <c r="F270" i="11" s="1"/>
  <c r="E269" i="11"/>
  <c r="F269" i="11" s="1"/>
  <c r="E268" i="11"/>
  <c r="F268" i="11" s="1"/>
  <c r="E267" i="11"/>
  <c r="F267" i="11" s="1"/>
  <c r="E259" i="11"/>
  <c r="F259" i="11" s="1"/>
  <c r="E258" i="11"/>
  <c r="F258" i="11" s="1"/>
  <c r="E257" i="11"/>
  <c r="F257" i="11" s="1"/>
  <c r="E256" i="11"/>
  <c r="F256" i="11" s="1"/>
  <c r="E255" i="11"/>
  <c r="F255" i="11" s="1"/>
  <c r="E247" i="11"/>
  <c r="F247" i="11" s="1"/>
  <c r="E246" i="11"/>
  <c r="F246" i="11" s="1"/>
  <c r="E245" i="11"/>
  <c r="F245" i="11" s="1"/>
  <c r="E244" i="11"/>
  <c r="F244" i="11" s="1"/>
  <c r="E243" i="11"/>
  <c r="F243" i="11" s="1"/>
  <c r="E235" i="11"/>
  <c r="F235" i="11" s="1"/>
  <c r="G235" i="11" s="1"/>
  <c r="E234" i="11"/>
  <c r="F234" i="11" s="1"/>
  <c r="G234" i="11" s="1"/>
  <c r="E233" i="11"/>
  <c r="F233" i="11" s="1"/>
  <c r="G233" i="11" s="1"/>
  <c r="E232" i="11"/>
  <c r="F232" i="11" s="1"/>
  <c r="G232" i="11" s="1"/>
  <c r="E236" i="11"/>
  <c r="F236" i="11" s="1"/>
  <c r="G236" i="11" s="1"/>
  <c r="E222" i="11"/>
  <c r="F222" i="11" s="1"/>
  <c r="G222" i="11" s="1"/>
  <c r="E223" i="11"/>
  <c r="F223" i="11" s="1"/>
  <c r="G223" i="11" s="1"/>
  <c r="E224" i="11"/>
  <c r="F224" i="11" s="1"/>
  <c r="G224" i="11" s="1"/>
  <c r="E225" i="11"/>
  <c r="F225" i="11" s="1"/>
  <c r="G225" i="11" s="1"/>
  <c r="E226" i="11"/>
  <c r="F226" i="11" s="1"/>
  <c r="G226" i="11" s="1"/>
  <c r="D33" i="10"/>
  <c r="D18" i="10"/>
  <c r="D14" i="13"/>
  <c r="E14" i="13" s="1"/>
  <c r="D15" i="13"/>
  <c r="E15" i="13" s="1"/>
  <c r="D16" i="13"/>
  <c r="E16" i="13" s="1"/>
  <c r="D17" i="13"/>
  <c r="E17" i="13" s="1"/>
  <c r="F33" i="10" l="1"/>
  <c r="G33" i="10"/>
  <c r="F18" i="10"/>
  <c r="G18" i="10"/>
  <c r="E18" i="10"/>
  <c r="E33" i="10"/>
  <c r="E18" i="13"/>
  <c r="B6" i="13" s="1"/>
  <c r="H33" i="10" l="1"/>
  <c r="H18" i="10"/>
  <c r="C17" i="9"/>
  <c r="E17" i="9" s="1"/>
  <c r="C18" i="9"/>
  <c r="E18" i="9" s="1"/>
  <c r="C19" i="9"/>
  <c r="E19" i="9" s="1"/>
  <c r="C20" i="9"/>
  <c r="E20" i="9" s="1"/>
  <c r="C21" i="9"/>
  <c r="E21" i="9" s="1"/>
  <c r="C22" i="9"/>
  <c r="E22" i="9" s="1"/>
  <c r="C23" i="9"/>
  <c r="E23" i="9" s="1"/>
  <c r="C24" i="9"/>
  <c r="E24" i="9" s="1"/>
  <c r="C25" i="9"/>
  <c r="E25" i="9" s="1"/>
  <c r="C26" i="9"/>
  <c r="E26" i="9" s="1"/>
  <c r="C27" i="9"/>
  <c r="E27" i="9" s="1"/>
  <c r="C28" i="9"/>
  <c r="E28" i="9" s="1"/>
  <c r="C29" i="9"/>
  <c r="E29" i="9" s="1"/>
  <c r="C30" i="9"/>
  <c r="E30" i="9" s="1"/>
  <c r="C31" i="9"/>
  <c r="E31" i="9" s="1"/>
  <c r="B5" i="9" l="1"/>
  <c r="D12" i="52" l="1"/>
  <c r="E12" i="52"/>
  <c r="D13" i="52"/>
  <c r="E13" i="52"/>
  <c r="D14" i="52"/>
  <c r="E14" i="52"/>
  <c r="D15" i="52"/>
  <c r="E15" i="52"/>
  <c r="D16" i="52"/>
  <c r="E16" i="52"/>
  <c r="D17" i="52"/>
  <c r="E17" i="52"/>
  <c r="D18" i="52"/>
  <c r="E18" i="52"/>
  <c r="D19" i="52"/>
  <c r="E19" i="52"/>
  <c r="D20" i="52"/>
  <c r="E20" i="52"/>
  <c r="D21" i="52"/>
  <c r="E21" i="52"/>
  <c r="D22" i="52"/>
  <c r="E22" i="52"/>
  <c r="E11" i="52"/>
  <c r="D11" i="52"/>
  <c r="G11" i="52" l="1"/>
  <c r="H11" i="52" s="1"/>
  <c r="K11" i="52" s="1"/>
  <c r="G18" i="52"/>
  <c r="H18" i="52" s="1"/>
  <c r="K18" i="52" s="1"/>
  <c r="G12" i="52"/>
  <c r="H12" i="52" s="1"/>
  <c r="K12" i="52" s="1"/>
  <c r="G22" i="52"/>
  <c r="H22" i="52" s="1"/>
  <c r="K22" i="52" s="1"/>
  <c r="G14" i="52"/>
  <c r="H14" i="52" s="1"/>
  <c r="K14" i="52" s="1"/>
  <c r="G19" i="52"/>
  <c r="H19" i="52" s="1"/>
  <c r="K19" i="52" s="1"/>
  <c r="G17" i="52"/>
  <c r="H17" i="52" s="1"/>
  <c r="K17" i="52" s="1"/>
  <c r="G15" i="52"/>
  <c r="H15" i="52" s="1"/>
  <c r="K15" i="52" s="1"/>
  <c r="G13" i="52"/>
  <c r="H13" i="52" s="1"/>
  <c r="K13" i="52" s="1"/>
  <c r="G20" i="52"/>
  <c r="H20" i="52" s="1"/>
  <c r="K20" i="52" s="1"/>
  <c r="G16" i="52"/>
  <c r="H16" i="52" s="1"/>
  <c r="K16" i="52" s="1"/>
  <c r="G21" i="52"/>
  <c r="H21" i="52" s="1"/>
  <c r="K21" i="52" s="1"/>
  <c r="F78" i="32"/>
  <c r="J19" i="52" l="1"/>
  <c r="M19" i="52" s="1"/>
  <c r="I19" i="52"/>
  <c r="L19" i="52" s="1"/>
  <c r="J16" i="52"/>
  <c r="M16" i="52" s="1"/>
  <c r="I16" i="52"/>
  <c r="L16" i="52" s="1"/>
  <c r="J15" i="52"/>
  <c r="M15" i="52" s="1"/>
  <c r="I15" i="52"/>
  <c r="L15" i="52" s="1"/>
  <c r="J14" i="52"/>
  <c r="M14" i="52" s="1"/>
  <c r="I14" i="52"/>
  <c r="L14" i="52" s="1"/>
  <c r="J18" i="52"/>
  <c r="M18" i="52" s="1"/>
  <c r="I18" i="52"/>
  <c r="L18" i="52" s="1"/>
  <c r="J21" i="52"/>
  <c r="M21" i="52" s="1"/>
  <c r="I21" i="52"/>
  <c r="L21" i="52" s="1"/>
  <c r="J13" i="52"/>
  <c r="M13" i="52" s="1"/>
  <c r="I13" i="52"/>
  <c r="L13" i="52" s="1"/>
  <c r="J12" i="52"/>
  <c r="M12" i="52" s="1"/>
  <c r="I12" i="52"/>
  <c r="L12" i="52" s="1"/>
  <c r="J20" i="52"/>
  <c r="M20" i="52" s="1"/>
  <c r="I20" i="52"/>
  <c r="L20" i="52" s="1"/>
  <c r="I17" i="52"/>
  <c r="L17" i="52" s="1"/>
  <c r="J17" i="52"/>
  <c r="M17" i="52" s="1"/>
  <c r="J22" i="52"/>
  <c r="M22" i="52" s="1"/>
  <c r="I22" i="52"/>
  <c r="L22" i="52" s="1"/>
  <c r="J11" i="52"/>
  <c r="M11" i="52" s="1"/>
  <c r="I11" i="52"/>
  <c r="L11" i="52" s="1"/>
  <c r="L57" i="32"/>
  <c r="M57" i="32" s="1"/>
  <c r="M23" i="52" l="1"/>
  <c r="C5" i="52" s="1"/>
  <c r="L23" i="52"/>
  <c r="G9" i="57"/>
  <c r="H9" i="57" s="1"/>
  <c r="J9" i="57" s="1"/>
  <c r="E220" i="11"/>
  <c r="E221" i="11"/>
  <c r="E227" i="11"/>
  <c r="E228" i="11"/>
  <c r="E219" i="11"/>
  <c r="D34" i="10"/>
  <c r="D35" i="10"/>
  <c r="D36" i="10"/>
  <c r="D37" i="10"/>
  <c r="D38" i="10"/>
  <c r="D39" i="10"/>
  <c r="D40" i="10"/>
  <c r="D41" i="10"/>
  <c r="D42" i="10"/>
  <c r="B5" i="52" l="1"/>
  <c r="F119" i="32" s="1"/>
  <c r="E86" i="60" s="1"/>
  <c r="E38" i="10"/>
  <c r="F38" i="10"/>
  <c r="G38" i="10"/>
  <c r="E34" i="10"/>
  <c r="F34" i="10"/>
  <c r="G34" i="10"/>
  <c r="E41" i="10"/>
  <c r="F41" i="10"/>
  <c r="G41" i="10"/>
  <c r="E35" i="10"/>
  <c r="F35" i="10"/>
  <c r="G35" i="10"/>
  <c r="E40" i="10"/>
  <c r="F40" i="10"/>
  <c r="G40" i="10"/>
  <c r="E37" i="10"/>
  <c r="F37" i="10"/>
  <c r="G37" i="10"/>
  <c r="E42" i="10"/>
  <c r="G42" i="10"/>
  <c r="F42" i="10"/>
  <c r="E39" i="10"/>
  <c r="G39" i="10"/>
  <c r="F39" i="10"/>
  <c r="E36" i="10"/>
  <c r="G36" i="10"/>
  <c r="F36" i="10"/>
  <c r="F219" i="11"/>
  <c r="G219" i="11" s="1"/>
  <c r="F79" i="32"/>
  <c r="H37" i="10" l="1"/>
  <c r="H40" i="10"/>
  <c r="H35" i="10"/>
  <c r="H41" i="10"/>
  <c r="H34" i="10"/>
  <c r="H38" i="10"/>
  <c r="H36" i="10"/>
  <c r="H39" i="10"/>
  <c r="H42" i="10"/>
  <c r="L58" i="32"/>
  <c r="M58" i="32" s="1"/>
  <c r="C27" i="6"/>
  <c r="C28" i="6"/>
  <c r="C29" i="6"/>
  <c r="C30" i="6"/>
  <c r="C31" i="6"/>
  <c r="C32" i="6"/>
  <c r="C33" i="6"/>
  <c r="C34" i="6"/>
  <c r="C35" i="6"/>
  <c r="C36" i="6"/>
  <c r="C37" i="6"/>
  <c r="C26" i="6"/>
  <c r="H43" i="10" l="1"/>
  <c r="B18" i="13"/>
  <c r="F60" i="32" l="1"/>
  <c r="C28" i="11"/>
  <c r="C29" i="11"/>
  <c r="C30" i="11"/>
  <c r="C31" i="11"/>
  <c r="C32" i="11"/>
  <c r="C33" i="11"/>
  <c r="C34" i="11"/>
  <c r="C35" i="11"/>
  <c r="C36" i="11"/>
  <c r="C37" i="11"/>
  <c r="C27" i="11"/>
  <c r="C294" i="11"/>
  <c r="D294" i="11"/>
  <c r="L46" i="32" l="1"/>
  <c r="M46" i="32" s="1"/>
  <c r="E17" i="59"/>
  <c r="E294" i="11"/>
  <c r="G294" i="11" l="1"/>
  <c r="H294" i="11" s="1"/>
  <c r="B14" i="11" s="1"/>
  <c r="F59" i="32" s="1"/>
  <c r="E23" i="59" s="1"/>
  <c r="E8" i="16"/>
  <c r="E10" i="57" l="1"/>
  <c r="F10" i="57" s="1"/>
  <c r="E11" i="57"/>
  <c r="F11" i="57" s="1"/>
  <c r="E12" i="57"/>
  <c r="F12" i="57" s="1"/>
  <c r="E13" i="57"/>
  <c r="F13" i="57" s="1"/>
  <c r="E14" i="57"/>
  <c r="F14" i="57" s="1"/>
  <c r="E15" i="57"/>
  <c r="F15" i="57" s="1"/>
  <c r="E16" i="57"/>
  <c r="F16" i="57" s="1"/>
  <c r="E17" i="57"/>
  <c r="F17" i="57" s="1"/>
  <c r="E18" i="57"/>
  <c r="F18" i="57" s="1"/>
  <c r="E19" i="57"/>
  <c r="F19" i="57" s="1"/>
  <c r="E20" i="57"/>
  <c r="F20" i="57" s="1"/>
  <c r="E21" i="57"/>
  <c r="F21" i="57" s="1"/>
  <c r="E22" i="57"/>
  <c r="F22" i="57" s="1"/>
  <c r="E23" i="57"/>
  <c r="F23" i="57" s="1"/>
  <c r="E24" i="57"/>
  <c r="F24" i="57" s="1"/>
  <c r="E25" i="57"/>
  <c r="F25" i="57" s="1"/>
  <c r="E26" i="57"/>
  <c r="F26" i="57" s="1"/>
  <c r="E27" i="57"/>
  <c r="F27" i="57" s="1"/>
  <c r="E28" i="57"/>
  <c r="F28" i="57" s="1"/>
  <c r="E29" i="57"/>
  <c r="F29" i="57" s="1"/>
  <c r="E30" i="57"/>
  <c r="F30" i="57" s="1"/>
  <c r="E31" i="57"/>
  <c r="F31" i="57" s="1"/>
  <c r="E32" i="57"/>
  <c r="F32" i="57" s="1"/>
  <c r="E33" i="57"/>
  <c r="F33" i="57" s="1"/>
  <c r="D9" i="14"/>
  <c r="E9" i="14" s="1"/>
  <c r="D10" i="14"/>
  <c r="E10" i="14" s="1"/>
  <c r="F10" i="14" s="1"/>
  <c r="D11" i="14"/>
  <c r="E11" i="14" s="1"/>
  <c r="D12" i="14"/>
  <c r="D13" i="14"/>
  <c r="E13" i="14" s="1"/>
  <c r="D14" i="14"/>
  <c r="E14" i="14" s="1"/>
  <c r="D15" i="14"/>
  <c r="E15" i="14" s="1"/>
  <c r="D16" i="14"/>
  <c r="D17" i="14"/>
  <c r="E17" i="14" s="1"/>
  <c r="D18" i="14"/>
  <c r="E18" i="14" s="1"/>
  <c r="F18" i="14" s="1"/>
  <c r="D19" i="14"/>
  <c r="E19" i="14" s="1"/>
  <c r="D10" i="15"/>
  <c r="D11" i="15"/>
  <c r="D12" i="15"/>
  <c r="D13" i="15"/>
  <c r="D14" i="15"/>
  <c r="D15" i="15"/>
  <c r="D16" i="15"/>
  <c r="D17" i="15"/>
  <c r="D18" i="15"/>
  <c r="D9" i="15"/>
  <c r="E9" i="15" s="1"/>
  <c r="F9" i="15" s="1"/>
  <c r="G9" i="16"/>
  <c r="G10" i="16"/>
  <c r="G11" i="16"/>
  <c r="G12" i="16"/>
  <c r="G13" i="16"/>
  <c r="G14" i="16"/>
  <c r="G15" i="16"/>
  <c r="G16" i="16"/>
  <c r="G17" i="16"/>
  <c r="G18" i="16"/>
  <c r="G19" i="16"/>
  <c r="G20" i="16"/>
  <c r="G21" i="16"/>
  <c r="G22" i="16"/>
  <c r="G23" i="16"/>
  <c r="G24" i="16"/>
  <c r="G25" i="16"/>
  <c r="G26" i="16"/>
  <c r="G27" i="16"/>
  <c r="G28" i="16"/>
  <c r="G29" i="16"/>
  <c r="E9" i="16"/>
  <c r="F9" i="16" s="1"/>
  <c r="E10" i="16"/>
  <c r="F10" i="16" s="1"/>
  <c r="E11" i="16"/>
  <c r="F11" i="16" s="1"/>
  <c r="E12" i="16"/>
  <c r="F12" i="16" s="1"/>
  <c r="E13" i="16"/>
  <c r="F13" i="16" s="1"/>
  <c r="E14" i="16"/>
  <c r="F14" i="16" s="1"/>
  <c r="E15" i="16"/>
  <c r="F15" i="16" s="1"/>
  <c r="E16" i="16"/>
  <c r="F16" i="16" s="1"/>
  <c r="E17" i="16"/>
  <c r="F17" i="16" s="1"/>
  <c r="E18" i="16"/>
  <c r="F18" i="16" s="1"/>
  <c r="E19" i="16"/>
  <c r="F19" i="16" s="1"/>
  <c r="E20" i="16"/>
  <c r="F20" i="16" s="1"/>
  <c r="E21" i="16"/>
  <c r="F21" i="16" s="1"/>
  <c r="E22" i="16"/>
  <c r="F22" i="16" s="1"/>
  <c r="E23" i="16"/>
  <c r="F23" i="16" s="1"/>
  <c r="E24" i="16"/>
  <c r="F24" i="16" s="1"/>
  <c r="E25" i="16"/>
  <c r="F25" i="16" s="1"/>
  <c r="E26" i="16"/>
  <c r="F26" i="16" s="1"/>
  <c r="E27" i="16"/>
  <c r="F27" i="16" s="1"/>
  <c r="E28" i="16"/>
  <c r="F28" i="16" s="1"/>
  <c r="E29" i="16"/>
  <c r="F29" i="16" s="1"/>
  <c r="H26" i="16" l="1"/>
  <c r="I26" i="16" s="1"/>
  <c r="H22" i="16"/>
  <c r="I22" i="16" s="1"/>
  <c r="H18" i="16"/>
  <c r="I18" i="16" s="1"/>
  <c r="H14" i="16"/>
  <c r="I14" i="16" s="1"/>
  <c r="H28" i="16"/>
  <c r="I28" i="16" s="1"/>
  <c r="H24" i="16"/>
  <c r="I24" i="16" s="1"/>
  <c r="H20" i="16"/>
  <c r="I20" i="16" s="1"/>
  <c r="H16" i="16"/>
  <c r="I16" i="16" s="1"/>
  <c r="H12" i="16"/>
  <c r="I12" i="16" s="1"/>
  <c r="H10" i="16"/>
  <c r="I10" i="16" s="1"/>
  <c r="F14" i="14"/>
  <c r="F19" i="14"/>
  <c r="F15" i="14"/>
  <c r="F11" i="14"/>
  <c r="E16" i="14"/>
  <c r="F16" i="14" s="1"/>
  <c r="E12" i="14"/>
  <c r="F12" i="14" s="1"/>
  <c r="H29" i="16"/>
  <c r="I29" i="16" s="1"/>
  <c r="H25" i="16"/>
  <c r="I25" i="16" s="1"/>
  <c r="H21" i="16"/>
  <c r="I21" i="16" s="1"/>
  <c r="H17" i="16"/>
  <c r="I17" i="16" s="1"/>
  <c r="H13" i="16"/>
  <c r="I13" i="16" s="1"/>
  <c r="H9" i="16"/>
  <c r="I9" i="16" s="1"/>
  <c r="H27" i="16"/>
  <c r="I27" i="16" s="1"/>
  <c r="H23" i="16"/>
  <c r="I23" i="16" s="1"/>
  <c r="H19" i="16"/>
  <c r="I19" i="16" s="1"/>
  <c r="H15" i="16"/>
  <c r="I15" i="16" s="1"/>
  <c r="H11" i="16"/>
  <c r="I11" i="16" s="1"/>
  <c r="F17" i="14"/>
  <c r="F13" i="14"/>
  <c r="G8" i="16" l="1"/>
  <c r="B28" i="55"/>
  <c r="C28" i="55" l="1"/>
  <c r="B7" i="55" s="1"/>
  <c r="F101" i="32" s="1"/>
  <c r="L72" i="32" s="1"/>
  <c r="M72" i="32" s="1"/>
  <c r="H9" i="51"/>
  <c r="I9" i="51" s="1"/>
  <c r="J9" i="51" l="1"/>
  <c r="K9" i="51"/>
  <c r="L9" i="51"/>
  <c r="E32" i="46"/>
  <c r="F32" i="46" s="1"/>
  <c r="B5" i="46" s="1"/>
  <c r="E24" i="46"/>
  <c r="E25" i="46"/>
  <c r="E14" i="46"/>
  <c r="F14" i="46" s="1"/>
  <c r="E15" i="46"/>
  <c r="F15" i="46" s="1"/>
  <c r="E16" i="46"/>
  <c r="F16" i="46" s="1"/>
  <c r="E17" i="46"/>
  <c r="F17" i="46" s="1"/>
  <c r="E18" i="46"/>
  <c r="F18" i="46" s="1"/>
  <c r="E19" i="46"/>
  <c r="F19" i="46" s="1"/>
  <c r="E20" i="46"/>
  <c r="F20" i="46" s="1"/>
  <c r="E21" i="46"/>
  <c r="F21" i="46" s="1"/>
  <c r="E13" i="46"/>
  <c r="F13" i="46" s="1"/>
  <c r="B4" i="46" l="1"/>
  <c r="M9" i="51"/>
  <c r="F87" i="32"/>
  <c r="L64" i="32" s="1"/>
  <c r="M64" i="32" s="1"/>
  <c r="F86" i="32"/>
  <c r="L63" i="32" s="1"/>
  <c r="M63" i="32" s="1"/>
  <c r="B7" i="46" l="1"/>
  <c r="F91" i="32" s="1"/>
  <c r="L67" i="32" s="1"/>
  <c r="M67" i="32" s="1"/>
  <c r="F85" i="32" l="1"/>
  <c r="F80" i="32"/>
  <c r="C75" i="6"/>
  <c r="C76" i="6"/>
  <c r="C77" i="6"/>
  <c r="C78" i="6"/>
  <c r="C79" i="6"/>
  <c r="C80" i="6"/>
  <c r="C81" i="6"/>
  <c r="C82" i="6"/>
  <c r="C83" i="6"/>
  <c r="C84" i="6"/>
  <c r="C85" i="6"/>
  <c r="C86" i="6"/>
  <c r="C87" i="6"/>
  <c r="C88" i="6"/>
  <c r="C74" i="6"/>
  <c r="D44" i="6"/>
  <c r="D26" i="6"/>
  <c r="G26" i="6" s="1"/>
  <c r="L62" i="32" l="1"/>
  <c r="M62" i="32" s="1"/>
  <c r="L59" i="32"/>
  <c r="M59" i="32" s="1"/>
  <c r="E44" i="6"/>
  <c r="F44" i="6" s="1"/>
  <c r="G44" i="6" s="1"/>
  <c r="E288" i="11"/>
  <c r="F288" i="11" s="1"/>
  <c r="E287" i="11"/>
  <c r="F287" i="11" s="1"/>
  <c r="E286" i="11"/>
  <c r="F286" i="11" s="1"/>
  <c r="E285" i="11"/>
  <c r="F285" i="11" s="1"/>
  <c r="E284" i="11"/>
  <c r="F284" i="11" s="1"/>
  <c r="E276" i="11"/>
  <c r="F276" i="11" s="1"/>
  <c r="E275" i="11"/>
  <c r="F275" i="11" s="1"/>
  <c r="E274" i="11"/>
  <c r="F274" i="11" s="1"/>
  <c r="E273" i="11"/>
  <c r="F273" i="11" s="1"/>
  <c r="E272" i="11"/>
  <c r="F272" i="11" s="1"/>
  <c r="E261" i="11"/>
  <c r="F261" i="11" s="1"/>
  <c r="E262" i="11"/>
  <c r="F262" i="11" s="1"/>
  <c r="E263" i="11"/>
  <c r="F263" i="11" s="1"/>
  <c r="E264" i="11"/>
  <c r="F264" i="11" s="1"/>
  <c r="E260" i="11"/>
  <c r="F260" i="11" s="1"/>
  <c r="E252" i="11"/>
  <c r="F252" i="11" s="1"/>
  <c r="E251" i="11"/>
  <c r="F251" i="11" s="1"/>
  <c r="E250" i="11"/>
  <c r="F250" i="11" s="1"/>
  <c r="E249" i="11"/>
  <c r="F249" i="11" s="1"/>
  <c r="E248" i="11"/>
  <c r="F248" i="11" s="1"/>
  <c r="E237" i="11"/>
  <c r="F237" i="11" s="1"/>
  <c r="G237" i="11" s="1"/>
  <c r="E238" i="11"/>
  <c r="F238" i="11" s="1"/>
  <c r="G238" i="11" s="1"/>
  <c r="E239" i="11"/>
  <c r="F239" i="11" s="1"/>
  <c r="G239" i="11" s="1"/>
  <c r="E240" i="11"/>
  <c r="F240" i="11" s="1"/>
  <c r="G240" i="11" s="1"/>
  <c r="E231" i="11"/>
  <c r="F231" i="11" s="1"/>
  <c r="G231" i="11" s="1"/>
  <c r="F220" i="11"/>
  <c r="G220" i="11" s="1"/>
  <c r="F221" i="11"/>
  <c r="G221" i="11" s="1"/>
  <c r="F227" i="11"/>
  <c r="G227" i="11" s="1"/>
  <c r="F228" i="11"/>
  <c r="G228" i="11" s="1"/>
  <c r="I16" i="2" l="1"/>
  <c r="B4" i="2" s="1"/>
  <c r="B13" i="11"/>
  <c r="B19" i="11"/>
  <c r="F74" i="32" s="1"/>
  <c r="L55" i="32" s="1"/>
  <c r="M55" i="32" s="1"/>
  <c r="C45" i="11"/>
  <c r="C46" i="11"/>
  <c r="C47" i="11"/>
  <c r="C48" i="11"/>
  <c r="C49" i="11"/>
  <c r="C50" i="11"/>
  <c r="C51" i="11"/>
  <c r="C52" i="11"/>
  <c r="C53" i="11"/>
  <c r="C44" i="11"/>
  <c r="D104" i="10"/>
  <c r="D103" i="10"/>
  <c r="D102" i="10"/>
  <c r="D101" i="10"/>
  <c r="D100" i="10"/>
  <c r="D99" i="10"/>
  <c r="D98" i="10"/>
  <c r="D97" i="10"/>
  <c r="D96" i="10"/>
  <c r="D95" i="10"/>
  <c r="D90" i="10"/>
  <c r="D89" i="10"/>
  <c r="D88" i="10"/>
  <c r="D87" i="10"/>
  <c r="D86" i="10"/>
  <c r="D85" i="10"/>
  <c r="D84" i="10"/>
  <c r="D83" i="10"/>
  <c r="D82" i="10"/>
  <c r="D81" i="10"/>
  <c r="D73" i="10"/>
  <c r="D72" i="10"/>
  <c r="D71" i="10"/>
  <c r="D70" i="10"/>
  <c r="D69" i="10"/>
  <c r="D68" i="10"/>
  <c r="D67" i="10"/>
  <c r="D66" i="10"/>
  <c r="D65" i="10"/>
  <c r="D58" i="10"/>
  <c r="D57" i="10"/>
  <c r="D56" i="10"/>
  <c r="D55" i="10"/>
  <c r="D54" i="10"/>
  <c r="D53" i="10"/>
  <c r="D52" i="10"/>
  <c r="D51" i="10"/>
  <c r="D50" i="10"/>
  <c r="D49" i="10"/>
  <c r="D48" i="10"/>
  <c r="D19" i="10"/>
  <c r="D20" i="10"/>
  <c r="D21" i="10"/>
  <c r="D22" i="10"/>
  <c r="D23" i="10"/>
  <c r="D24" i="10"/>
  <c r="D25" i="10"/>
  <c r="D26" i="10"/>
  <c r="D27" i="10"/>
  <c r="F84" i="32" l="1"/>
  <c r="E97" i="10"/>
  <c r="F97" i="10"/>
  <c r="G97" i="10"/>
  <c r="E100" i="10"/>
  <c r="F100" i="10"/>
  <c r="G100" i="10"/>
  <c r="E103" i="10"/>
  <c r="F103" i="10"/>
  <c r="G103" i="10"/>
  <c r="G95" i="10"/>
  <c r="F95" i="10"/>
  <c r="E95" i="10"/>
  <c r="E98" i="10"/>
  <c r="F98" i="10"/>
  <c r="G98" i="10"/>
  <c r="E101" i="10"/>
  <c r="F101" i="10"/>
  <c r="G101" i="10"/>
  <c r="E104" i="10"/>
  <c r="F104" i="10"/>
  <c r="G104" i="10"/>
  <c r="E96" i="10"/>
  <c r="F96" i="10"/>
  <c r="G96" i="10"/>
  <c r="E99" i="10"/>
  <c r="F99" i="10"/>
  <c r="G99" i="10"/>
  <c r="E102" i="10"/>
  <c r="F102" i="10"/>
  <c r="G102" i="10"/>
  <c r="F81" i="10"/>
  <c r="E81" i="10"/>
  <c r="G81" i="10"/>
  <c r="F84" i="10"/>
  <c r="E84" i="10"/>
  <c r="G84" i="10"/>
  <c r="F87" i="10"/>
  <c r="E87" i="10"/>
  <c r="G87" i="10"/>
  <c r="F90" i="10"/>
  <c r="G90" i="10"/>
  <c r="E90" i="10"/>
  <c r="G82" i="10"/>
  <c r="E82" i="10"/>
  <c r="F82" i="10"/>
  <c r="G85" i="10"/>
  <c r="E85" i="10"/>
  <c r="F85" i="10"/>
  <c r="G88" i="10"/>
  <c r="F88" i="10"/>
  <c r="E88" i="10"/>
  <c r="F83" i="10"/>
  <c r="G83" i="10"/>
  <c r="E83" i="10"/>
  <c r="F86" i="10"/>
  <c r="G86" i="10"/>
  <c r="E86" i="10"/>
  <c r="E89" i="10"/>
  <c r="F89" i="10"/>
  <c r="G89" i="10"/>
  <c r="F65" i="10"/>
  <c r="E65" i="10"/>
  <c r="G65" i="10"/>
  <c r="F68" i="10"/>
  <c r="E68" i="10"/>
  <c r="G68" i="10"/>
  <c r="F71" i="10"/>
  <c r="E71" i="10"/>
  <c r="G71" i="10"/>
  <c r="G66" i="10"/>
  <c r="E66" i="10"/>
  <c r="F66" i="10"/>
  <c r="G69" i="10"/>
  <c r="E69" i="10"/>
  <c r="F69" i="10"/>
  <c r="G72" i="10"/>
  <c r="E72" i="10"/>
  <c r="F72" i="10"/>
  <c r="E67" i="10"/>
  <c r="G67" i="10"/>
  <c r="F67" i="10"/>
  <c r="E70" i="10"/>
  <c r="G70" i="10"/>
  <c r="F70" i="10"/>
  <c r="E73" i="10"/>
  <c r="G73" i="10"/>
  <c r="F73" i="10"/>
  <c r="F54" i="10"/>
  <c r="G54" i="10"/>
  <c r="G49" i="10"/>
  <c r="F49" i="10"/>
  <c r="F52" i="10"/>
  <c r="G52" i="10"/>
  <c r="G55" i="10"/>
  <c r="F55" i="10"/>
  <c r="G58" i="10"/>
  <c r="F58" i="10"/>
  <c r="E48" i="10"/>
  <c r="G48" i="10"/>
  <c r="F48" i="10"/>
  <c r="F51" i="10"/>
  <c r="G51" i="10"/>
  <c r="F57" i="10"/>
  <c r="G57" i="10"/>
  <c r="G50" i="10"/>
  <c r="F50" i="10"/>
  <c r="G53" i="10"/>
  <c r="F53" i="10"/>
  <c r="G56" i="10"/>
  <c r="F56" i="10"/>
  <c r="H64" i="10"/>
  <c r="E54" i="10"/>
  <c r="E51" i="10"/>
  <c r="E57" i="10"/>
  <c r="E52" i="10"/>
  <c r="E55" i="10"/>
  <c r="E58" i="10"/>
  <c r="E49" i="10"/>
  <c r="E50" i="10"/>
  <c r="E53" i="10"/>
  <c r="E56" i="10"/>
  <c r="G25" i="10"/>
  <c r="F25" i="10"/>
  <c r="E22" i="10"/>
  <c r="G22" i="10"/>
  <c r="F22" i="10"/>
  <c r="E19" i="10"/>
  <c r="G19" i="10"/>
  <c r="F19" i="10"/>
  <c r="E27" i="10"/>
  <c r="G27" i="10"/>
  <c r="F27" i="10"/>
  <c r="G24" i="10"/>
  <c r="F24" i="10"/>
  <c r="G21" i="10"/>
  <c r="F21" i="10"/>
  <c r="E26" i="10"/>
  <c r="G26" i="10"/>
  <c r="F26" i="10"/>
  <c r="G23" i="10"/>
  <c r="F23" i="10"/>
  <c r="G20" i="10"/>
  <c r="F20" i="10"/>
  <c r="E24" i="10"/>
  <c r="E23" i="10"/>
  <c r="E20" i="10"/>
  <c r="E21" i="10"/>
  <c r="E25" i="10"/>
  <c r="F73" i="32"/>
  <c r="L61" i="32" l="1"/>
  <c r="M61" i="32" s="1"/>
  <c r="H71" i="10"/>
  <c r="H68" i="10"/>
  <c r="H65" i="10"/>
  <c r="H87" i="10"/>
  <c r="H84" i="10"/>
  <c r="H81" i="10"/>
  <c r="H102" i="10"/>
  <c r="H99" i="10"/>
  <c r="H104" i="10"/>
  <c r="H101" i="10"/>
  <c r="H98" i="10"/>
  <c r="H103" i="10"/>
  <c r="H100" i="10"/>
  <c r="H89" i="10"/>
  <c r="H96" i="10"/>
  <c r="H97" i="10"/>
  <c r="H51" i="10"/>
  <c r="H95" i="10"/>
  <c r="H90" i="10"/>
  <c r="H72" i="10"/>
  <c r="H69" i="10"/>
  <c r="H66" i="10"/>
  <c r="H86" i="10"/>
  <c r="H83" i="10"/>
  <c r="H88" i="10"/>
  <c r="H85" i="10"/>
  <c r="H82" i="10"/>
  <c r="H48" i="10"/>
  <c r="H58" i="10"/>
  <c r="H52" i="10"/>
  <c r="H49" i="10"/>
  <c r="H57" i="10"/>
  <c r="H73" i="10"/>
  <c r="H70" i="10"/>
  <c r="H67" i="10"/>
  <c r="H50" i="10"/>
  <c r="H53" i="10"/>
  <c r="H54" i="10"/>
  <c r="H56" i="10"/>
  <c r="H55" i="10"/>
  <c r="H26" i="10"/>
  <c r="H21" i="10"/>
  <c r="H23" i="10"/>
  <c r="H27" i="10"/>
  <c r="H19" i="10"/>
  <c r="H22" i="10"/>
  <c r="H25" i="10"/>
  <c r="H20" i="10"/>
  <c r="H24" i="10"/>
  <c r="L54" i="32"/>
  <c r="M54" i="32" s="1"/>
  <c r="L45" i="32"/>
  <c r="M45" i="32" s="1"/>
  <c r="H74" i="10" l="1"/>
  <c r="H28" i="10"/>
  <c r="B5" i="10" s="1"/>
  <c r="H91" i="10"/>
  <c r="H59" i="10"/>
  <c r="H105" i="10"/>
  <c r="B6" i="10"/>
  <c r="F97" i="32" s="1"/>
  <c r="L70" i="32" s="1"/>
  <c r="M70" i="32" s="1"/>
  <c r="E34" i="59" l="1"/>
  <c r="F22" i="32"/>
  <c r="E7" i="59" s="1"/>
  <c r="F30" i="60"/>
  <c r="L14" i="32" l="1"/>
  <c r="M14" i="32" s="1"/>
  <c r="D31" i="6"/>
  <c r="G31" i="6" s="1"/>
  <c r="D32" i="6"/>
  <c r="G32" i="6" s="1"/>
  <c r="D33" i="6"/>
  <c r="G33" i="6" s="1"/>
  <c r="D34" i="6"/>
  <c r="G34" i="6" s="1"/>
  <c r="D35" i="6"/>
  <c r="G35" i="6" s="1"/>
  <c r="D36" i="6"/>
  <c r="G36" i="6" s="1"/>
  <c r="D37" i="6"/>
  <c r="G37" i="6" s="1"/>
  <c r="D30" i="6"/>
  <c r="G30" i="6" s="1"/>
  <c r="D29" i="6"/>
  <c r="G29" i="6" s="1"/>
  <c r="D28" i="6"/>
  <c r="G28" i="6" s="1"/>
  <c r="D27" i="6"/>
  <c r="G27" i="6" s="1"/>
  <c r="H252" i="10"/>
  <c r="H253" i="10"/>
  <c r="H254" i="10"/>
  <c r="H255" i="10"/>
  <c r="H256" i="10"/>
  <c r="H257" i="10"/>
  <c r="H258" i="10"/>
  <c r="H259" i="10"/>
  <c r="H260" i="10"/>
  <c r="B10" i="10"/>
  <c r="G38" i="6" l="1"/>
  <c r="B5" i="6" s="1"/>
  <c r="F96" i="32" l="1"/>
  <c r="D13" i="49"/>
  <c r="D12" i="49"/>
  <c r="E12" i="49" s="1"/>
  <c r="G12" i="49" s="1"/>
  <c r="H12" i="49" s="1"/>
  <c r="D51" i="6"/>
  <c r="E51" i="6" s="1"/>
  <c r="F51" i="6" s="1"/>
  <c r="G51" i="6" s="1"/>
  <c r="D52" i="6"/>
  <c r="E52" i="6" s="1"/>
  <c r="F52" i="6" s="1"/>
  <c r="G52" i="6" s="1"/>
  <c r="D53" i="6"/>
  <c r="E53" i="6" s="1"/>
  <c r="F53" i="6" s="1"/>
  <c r="G53" i="6" s="1"/>
  <c r="B10" i="6" s="1"/>
  <c r="D54" i="6"/>
  <c r="E54" i="6" s="1"/>
  <c r="F54" i="6" s="1"/>
  <c r="G54" i="6" s="1"/>
  <c r="D55" i="6"/>
  <c r="E55" i="6" s="1"/>
  <c r="F55" i="6" s="1"/>
  <c r="G55" i="6" s="1"/>
  <c r="B12" i="6" s="1"/>
  <c r="D56" i="6"/>
  <c r="E56" i="6" s="1"/>
  <c r="F56" i="6" s="1"/>
  <c r="G56" i="6" s="1"/>
  <c r="B13" i="6" s="1"/>
  <c r="D57" i="6"/>
  <c r="E57" i="6" s="1"/>
  <c r="F57" i="6" s="1"/>
  <c r="G57" i="6" s="1"/>
  <c r="D58" i="6"/>
  <c r="E58" i="6" s="1"/>
  <c r="F58" i="6" s="1"/>
  <c r="G58" i="6" s="1"/>
  <c r="D59" i="6"/>
  <c r="E59" i="6" s="1"/>
  <c r="F59" i="6" s="1"/>
  <c r="G59" i="6" s="1"/>
  <c r="B16" i="6" s="1"/>
  <c r="D45" i="6"/>
  <c r="E45" i="6" s="1"/>
  <c r="F45" i="6" s="1"/>
  <c r="G45" i="6" s="1"/>
  <c r="B6" i="6" s="1"/>
  <c r="D46" i="6"/>
  <c r="E46" i="6" s="1"/>
  <c r="F46" i="6" s="1"/>
  <c r="G46" i="6" s="1"/>
  <c r="D47" i="6"/>
  <c r="E47" i="6" s="1"/>
  <c r="F47" i="6" s="1"/>
  <c r="G47" i="6" s="1"/>
  <c r="D48" i="6"/>
  <c r="E48" i="6" s="1"/>
  <c r="F48" i="6" s="1"/>
  <c r="G48" i="6" s="1"/>
  <c r="D49" i="6"/>
  <c r="E49" i="6" s="1"/>
  <c r="F49" i="6" s="1"/>
  <c r="G49" i="6" s="1"/>
  <c r="B7" i="6" l="1"/>
  <c r="B9" i="6"/>
  <c r="L69" i="32"/>
  <c r="M69" i="32" s="1"/>
  <c r="F95" i="32"/>
  <c r="E13" i="49"/>
  <c r="G13" i="49" s="1"/>
  <c r="H13" i="49" s="1"/>
  <c r="F24" i="32"/>
  <c r="L16" i="32" s="1"/>
  <c r="M16" i="32" s="1"/>
  <c r="G795" i="11"/>
  <c r="B795" i="11"/>
  <c r="E8" i="59" l="1"/>
  <c r="F12" i="49"/>
  <c r="K12" i="49" s="1"/>
  <c r="B5" i="49" s="1"/>
  <c r="F104" i="32" s="1"/>
  <c r="F13" i="49"/>
  <c r="I13" i="49" s="1"/>
  <c r="J13" i="49" s="1"/>
  <c r="C795" i="11"/>
  <c r="B20" i="11" s="1"/>
  <c r="F31" i="32" s="1"/>
  <c r="L19" i="32" s="1"/>
  <c r="M19" i="32" s="1"/>
  <c r="H795" i="11"/>
  <c r="L73" i="32" l="1"/>
  <c r="M73" i="32" s="1"/>
  <c r="B21" i="11"/>
  <c r="F62" i="32" s="1"/>
  <c r="L47" i="32" s="1"/>
  <c r="M47" i="32" s="1"/>
  <c r="L1111" i="44"/>
  <c r="G1111" i="44"/>
  <c r="H1111" i="44" s="1"/>
  <c r="I1111" i="44" s="1"/>
  <c r="J1111" i="44" s="1"/>
  <c r="M1111" i="44" s="1"/>
  <c r="L1110" i="44"/>
  <c r="G1110" i="44"/>
  <c r="O1110" i="44" s="1"/>
  <c r="L1109" i="44"/>
  <c r="G1109" i="44"/>
  <c r="H1109" i="44" s="1"/>
  <c r="I1109" i="44" s="1"/>
  <c r="J1109" i="44" s="1"/>
  <c r="M1109" i="44" s="1"/>
  <c r="L1108" i="44"/>
  <c r="G1108" i="44"/>
  <c r="H1108" i="44" s="1"/>
  <c r="I1108" i="44" s="1"/>
  <c r="J1108" i="44" s="1"/>
  <c r="M1108" i="44" s="1"/>
  <c r="L1107" i="44"/>
  <c r="G1107" i="44"/>
  <c r="H1107" i="44" s="1"/>
  <c r="I1107" i="44" s="1"/>
  <c r="J1107" i="44" s="1"/>
  <c r="M1107" i="44" s="1"/>
  <c r="M1112" i="44" s="1"/>
  <c r="G41" i="57"/>
  <c r="H41" i="57" s="1"/>
  <c r="I41" i="57" s="1"/>
  <c r="J41" i="57" s="1"/>
  <c r="G40" i="57"/>
  <c r="O40" i="57" s="1"/>
  <c r="G39" i="57"/>
  <c r="H39" i="57" s="1"/>
  <c r="I39" i="57" s="1"/>
  <c r="J39" i="57" s="1"/>
  <c r="G38" i="57"/>
  <c r="O38" i="57" s="1"/>
  <c r="G37" i="57"/>
  <c r="H37" i="57" s="1"/>
  <c r="I37" i="57" s="1"/>
  <c r="J37" i="57" s="1"/>
  <c r="G33" i="57"/>
  <c r="G32" i="57"/>
  <c r="G31" i="57"/>
  <c r="G30" i="57"/>
  <c r="G29" i="57"/>
  <c r="G28" i="57"/>
  <c r="G27" i="57"/>
  <c r="G26" i="57"/>
  <c r="G25" i="57"/>
  <c r="G24" i="57"/>
  <c r="G23" i="57"/>
  <c r="G22" i="57"/>
  <c r="G21" i="57"/>
  <c r="G20" i="57"/>
  <c r="G19" i="57"/>
  <c r="G18" i="57"/>
  <c r="G17" i="57"/>
  <c r="G16" i="57"/>
  <c r="G15" i="57"/>
  <c r="G14" i="57"/>
  <c r="G13" i="57"/>
  <c r="G12" i="57"/>
  <c r="G11" i="57"/>
  <c r="G10" i="57"/>
  <c r="H10" i="57" s="1"/>
  <c r="J10" i="57" s="1"/>
  <c r="M536" i="44"/>
  <c r="M535" i="44"/>
  <c r="H12" i="57" l="1"/>
  <c r="J12" i="57" s="1"/>
  <c r="H16" i="57"/>
  <c r="J16" i="57" s="1"/>
  <c r="H24" i="57"/>
  <c r="J24" i="57" s="1"/>
  <c r="H28" i="57"/>
  <c r="J28" i="57" s="1"/>
  <c r="H13" i="57"/>
  <c r="J13" i="57" s="1"/>
  <c r="H21" i="57"/>
  <c r="J21" i="57" s="1"/>
  <c r="H25" i="57"/>
  <c r="J25" i="57" s="1"/>
  <c r="H29" i="57"/>
  <c r="J29" i="57" s="1"/>
  <c r="H26" i="57"/>
  <c r="J26" i="57" s="1"/>
  <c r="H20" i="57"/>
  <c r="J20" i="57" s="1"/>
  <c r="H32" i="57"/>
  <c r="J32" i="57" s="1"/>
  <c r="H17" i="57"/>
  <c r="J17" i="57" s="1"/>
  <c r="H33" i="57"/>
  <c r="J33" i="57" s="1"/>
  <c r="H14" i="57"/>
  <c r="J14" i="57" s="1"/>
  <c r="H18" i="57"/>
  <c r="J18" i="57" s="1"/>
  <c r="H22" i="57"/>
  <c r="J22" i="57" s="1"/>
  <c r="H30" i="57"/>
  <c r="J30" i="57" s="1"/>
  <c r="H11" i="57"/>
  <c r="H15" i="57"/>
  <c r="J15" i="57" s="1"/>
  <c r="H19" i="57"/>
  <c r="J19" i="57" s="1"/>
  <c r="H23" i="57"/>
  <c r="J23" i="57" s="1"/>
  <c r="H27" i="57"/>
  <c r="J27" i="57" s="1"/>
  <c r="H31" i="57"/>
  <c r="J31" i="57" s="1"/>
  <c r="O1108" i="44"/>
  <c r="O1109" i="44"/>
  <c r="O39" i="57"/>
  <c r="H40" i="57"/>
  <c r="I40" i="57" s="1"/>
  <c r="J40" i="57" s="1"/>
  <c r="H38" i="57"/>
  <c r="I38" i="57" s="1"/>
  <c r="J38" i="57" s="1"/>
  <c r="H1110" i="44"/>
  <c r="I1110" i="44" s="1"/>
  <c r="J1110" i="44" s="1"/>
  <c r="M1110" i="44" s="1"/>
  <c r="J11" i="57" l="1"/>
  <c r="B5" i="57" s="1"/>
  <c r="F117" i="32" s="1"/>
  <c r="F13" i="32"/>
  <c r="L10" i="32" s="1"/>
  <c r="M10" i="32" s="1"/>
  <c r="E92" i="60" l="1"/>
  <c r="F92" i="60" s="1"/>
  <c r="E31" i="59" l="1"/>
  <c r="B22" i="55"/>
  <c r="B15" i="55"/>
  <c r="C15" i="55" s="1"/>
  <c r="B5" i="55" s="1"/>
  <c r="C22" i="55" l="1"/>
  <c r="B6" i="55" s="1"/>
  <c r="F99" i="32" s="1"/>
  <c r="L71" i="32" s="1"/>
  <c r="M71" i="32" s="1"/>
  <c r="H13" i="51"/>
  <c r="I13" i="51" s="1"/>
  <c r="H14" i="51"/>
  <c r="I14" i="51" s="1"/>
  <c r="H15" i="51"/>
  <c r="I15" i="51" s="1"/>
  <c r="H16" i="51"/>
  <c r="I16" i="51" s="1"/>
  <c r="H17" i="51"/>
  <c r="I17" i="51" s="1"/>
  <c r="H18" i="51"/>
  <c r="I18" i="51" s="1"/>
  <c r="H19" i="51"/>
  <c r="I19" i="51" s="1"/>
  <c r="H20" i="51"/>
  <c r="I20" i="51" s="1"/>
  <c r="H21" i="51"/>
  <c r="I21" i="51" s="1"/>
  <c r="J17" i="51" l="1"/>
  <c r="K17" i="51"/>
  <c r="L17" i="51"/>
  <c r="J14" i="51"/>
  <c r="K14" i="51"/>
  <c r="L14" i="51"/>
  <c r="K19" i="51"/>
  <c r="L19" i="51"/>
  <c r="J19" i="51"/>
  <c r="K16" i="51"/>
  <c r="L16" i="51"/>
  <c r="J16" i="51"/>
  <c r="K13" i="51"/>
  <c r="L13" i="51"/>
  <c r="J13" i="51"/>
  <c r="J20" i="51"/>
  <c r="K20" i="51"/>
  <c r="L20" i="51"/>
  <c r="L21" i="51"/>
  <c r="J21" i="51"/>
  <c r="K21" i="51"/>
  <c r="L18" i="51"/>
  <c r="J18" i="51"/>
  <c r="K18" i="51"/>
  <c r="L15" i="51"/>
  <c r="J15" i="51"/>
  <c r="K15" i="51"/>
  <c r="B8" i="55"/>
  <c r="M13" i="51" l="1"/>
  <c r="M16" i="51"/>
  <c r="M19" i="51"/>
  <c r="M17" i="51"/>
  <c r="M20" i="51"/>
  <c r="M14" i="51"/>
  <c r="M21" i="51"/>
  <c r="M18" i="51"/>
  <c r="M15" i="51"/>
  <c r="E44" i="59"/>
  <c r="H28" i="51"/>
  <c r="I28" i="51" s="1"/>
  <c r="H27" i="51"/>
  <c r="I27" i="51" s="1"/>
  <c r="H26" i="51"/>
  <c r="I26" i="51" s="1"/>
  <c r="H25" i="51"/>
  <c r="I25" i="51" s="1"/>
  <c r="H24" i="51"/>
  <c r="I24" i="51" s="1"/>
  <c r="H23" i="51"/>
  <c r="I23" i="51" s="1"/>
  <c r="H22" i="51"/>
  <c r="I22" i="51" s="1"/>
  <c r="H12" i="51"/>
  <c r="I12" i="51" s="1"/>
  <c r="H11" i="51"/>
  <c r="I11" i="51" s="1"/>
  <c r="H10" i="51"/>
  <c r="I10" i="51" s="1"/>
  <c r="B65" i="11"/>
  <c r="B66" i="11" s="1"/>
  <c r="B61" i="11"/>
  <c r="B8" i="2"/>
  <c r="B15" i="6"/>
  <c r="F43" i="32" s="1"/>
  <c r="L30" i="32" s="1"/>
  <c r="M30" i="32" s="1"/>
  <c r="B11" i="6"/>
  <c r="F39" i="32" s="1"/>
  <c r="L26" i="32" s="1"/>
  <c r="M26" i="32" s="1"/>
  <c r="F40" i="32"/>
  <c r="L27" i="32" s="1"/>
  <c r="M27" i="32" s="1"/>
  <c r="F41" i="32"/>
  <c r="L28" i="32" s="1"/>
  <c r="M28" i="32" s="1"/>
  <c r="B14" i="6"/>
  <c r="F42" i="32" s="1"/>
  <c r="L29" i="32" s="1"/>
  <c r="M29" i="32" s="1"/>
  <c r="D50" i="6"/>
  <c r="F38" i="32"/>
  <c r="L25" i="32" s="1"/>
  <c r="M25" i="32" s="1"/>
  <c r="F8" i="16"/>
  <c r="H8" i="16" s="1"/>
  <c r="F9" i="14"/>
  <c r="A5" i="14" s="1"/>
  <c r="E14" i="15"/>
  <c r="E15" i="15"/>
  <c r="E16" i="15"/>
  <c r="G16" i="15" s="1"/>
  <c r="E17" i="15"/>
  <c r="E18" i="15"/>
  <c r="E12" i="15"/>
  <c r="F12" i="15" s="1"/>
  <c r="E13" i="15"/>
  <c r="G13" i="15" s="1"/>
  <c r="H13" i="15" s="1"/>
  <c r="E11" i="15"/>
  <c r="E10" i="15"/>
  <c r="G9" i="15"/>
  <c r="C18" i="13"/>
  <c r="A28" i="13" s="1"/>
  <c r="C28" i="13" s="1"/>
  <c r="F88" i="32" l="1"/>
  <c r="F83" i="32" s="1"/>
  <c r="B10" i="2"/>
  <c r="J23" i="51"/>
  <c r="K23" i="51"/>
  <c r="L23" i="51"/>
  <c r="L12" i="51"/>
  <c r="J12" i="51"/>
  <c r="K12" i="51"/>
  <c r="L24" i="51"/>
  <c r="J24" i="51"/>
  <c r="K24" i="51"/>
  <c r="L27" i="51"/>
  <c r="J27" i="51"/>
  <c r="K27" i="51"/>
  <c r="J11" i="51"/>
  <c r="K11" i="51"/>
  <c r="L11" i="51"/>
  <c r="J26" i="51"/>
  <c r="K26" i="51"/>
  <c r="L26" i="51"/>
  <c r="K10" i="51"/>
  <c r="L10" i="51"/>
  <c r="J10" i="51"/>
  <c r="K22" i="51"/>
  <c r="L22" i="51"/>
  <c r="J22" i="51"/>
  <c r="K25" i="51"/>
  <c r="L25" i="51"/>
  <c r="J25" i="51"/>
  <c r="K28" i="51"/>
  <c r="L28" i="51"/>
  <c r="J28" i="51"/>
  <c r="L65" i="32"/>
  <c r="M65" i="32" s="1"/>
  <c r="E91" i="60"/>
  <c r="F116" i="32"/>
  <c r="I8" i="16"/>
  <c r="B4" i="16" s="1"/>
  <c r="F114" i="32" s="1"/>
  <c r="F33" i="32"/>
  <c r="F44" i="32"/>
  <c r="E50" i="6"/>
  <c r="F50" i="6" s="1"/>
  <c r="K13" i="49"/>
  <c r="F34" i="32"/>
  <c r="L21" i="32" s="1"/>
  <c r="F37" i="32"/>
  <c r="L13" i="15"/>
  <c r="F25" i="32"/>
  <c r="L17" i="32" s="1"/>
  <c r="M17" i="32" s="1"/>
  <c r="F35" i="32"/>
  <c r="L22" i="32" s="1"/>
  <c r="M22" i="32" s="1"/>
  <c r="F11" i="15"/>
  <c r="G11" i="15"/>
  <c r="J11" i="15"/>
  <c r="I11" i="15"/>
  <c r="J18" i="15"/>
  <c r="I18" i="15"/>
  <c r="F18" i="15"/>
  <c r="G18" i="15"/>
  <c r="J13" i="15"/>
  <c r="I13" i="15"/>
  <c r="F13" i="15"/>
  <c r="M13" i="15" s="1"/>
  <c r="I9" i="15"/>
  <c r="J9" i="15"/>
  <c r="L9" i="15"/>
  <c r="H9" i="15"/>
  <c r="M9" i="15" s="1"/>
  <c r="J17" i="15"/>
  <c r="G17" i="15"/>
  <c r="I17" i="15"/>
  <c r="F17" i="15"/>
  <c r="I16" i="15"/>
  <c r="F16" i="15"/>
  <c r="J16" i="15"/>
  <c r="G15" i="15"/>
  <c r="F15" i="15"/>
  <c r="I15" i="15"/>
  <c r="J15" i="15"/>
  <c r="L16" i="15"/>
  <c r="H16" i="15"/>
  <c r="I14" i="15"/>
  <c r="F14" i="15"/>
  <c r="J14" i="15"/>
  <c r="G14" i="15"/>
  <c r="F10" i="15"/>
  <c r="G10" i="15"/>
  <c r="J10" i="15"/>
  <c r="I10" i="15"/>
  <c r="I12" i="15"/>
  <c r="G12" i="15"/>
  <c r="J12" i="15"/>
  <c r="D18" i="13"/>
  <c r="H28" i="13"/>
  <c r="A38" i="13" s="1"/>
  <c r="E28" i="13"/>
  <c r="A34" i="13" s="1"/>
  <c r="B34" i="13" l="1"/>
  <c r="C34" i="13" s="1"/>
  <c r="D34" i="13" s="1"/>
  <c r="B23" i="13" s="1"/>
  <c r="B38" i="13"/>
  <c r="C38" i="13" s="1"/>
  <c r="D38" i="13" s="1"/>
  <c r="B24" i="13" s="1"/>
  <c r="M22" i="51"/>
  <c r="M26" i="51"/>
  <c r="M11" i="51"/>
  <c r="G50" i="6"/>
  <c r="B8" i="6" s="1"/>
  <c r="F36" i="32" s="1"/>
  <c r="L31" i="32"/>
  <c r="M31" i="32" s="1"/>
  <c r="E27" i="59"/>
  <c r="L24" i="32"/>
  <c r="M24" i="32" s="1"/>
  <c r="L20" i="32"/>
  <c r="M20" i="32" s="1"/>
  <c r="M21" i="32"/>
  <c r="E89" i="60"/>
  <c r="F89" i="60" s="1"/>
  <c r="E25" i="59"/>
  <c r="E6" i="59"/>
  <c r="B6" i="49"/>
  <c r="F105" i="32" s="1"/>
  <c r="M12" i="51"/>
  <c r="M25" i="51"/>
  <c r="M24" i="51"/>
  <c r="M23" i="51"/>
  <c r="K9" i="15"/>
  <c r="N9" i="15" s="1"/>
  <c r="O9" i="15" s="1"/>
  <c r="F16" i="32"/>
  <c r="L12" i="32" s="1"/>
  <c r="F23" i="32"/>
  <c r="L15" i="32" s="1"/>
  <c r="M15" i="32" s="1"/>
  <c r="F28" i="32"/>
  <c r="F27" i="32"/>
  <c r="M18" i="32" s="1"/>
  <c r="K12" i="15"/>
  <c r="K15" i="15"/>
  <c r="M16" i="15"/>
  <c r="L17" i="15"/>
  <c r="H17" i="15"/>
  <c r="M17" i="15" s="1"/>
  <c r="H11" i="15"/>
  <c r="M11" i="15" s="1"/>
  <c r="L11" i="15"/>
  <c r="K10" i="15"/>
  <c r="K16" i="15"/>
  <c r="N16" i="15" s="1"/>
  <c r="H18" i="15"/>
  <c r="M18" i="15" s="1"/>
  <c r="L18" i="15"/>
  <c r="H14" i="15"/>
  <c r="M14" i="15" s="1"/>
  <c r="L14" i="15"/>
  <c r="K17" i="15"/>
  <c r="K14" i="15"/>
  <c r="H15" i="15"/>
  <c r="M15" i="15" s="1"/>
  <c r="L15" i="15"/>
  <c r="L12" i="15"/>
  <c r="H12" i="15"/>
  <c r="M12" i="15" s="1"/>
  <c r="L10" i="15"/>
  <c r="H10" i="15"/>
  <c r="M10" i="15" s="1"/>
  <c r="K18" i="15"/>
  <c r="K13" i="15"/>
  <c r="N13" i="15" s="1"/>
  <c r="O13" i="15" s="1"/>
  <c r="K11" i="15"/>
  <c r="F81" i="32"/>
  <c r="F28" i="13"/>
  <c r="B25" i="13" l="1"/>
  <c r="B5" i="13" s="1"/>
  <c r="M27" i="51"/>
  <c r="M10" i="51"/>
  <c r="B5" i="51" s="1"/>
  <c r="F113" i="32" s="1"/>
  <c r="F130" i="32" s="1"/>
  <c r="M28" i="51"/>
  <c r="L60" i="32"/>
  <c r="M60" i="32" s="1"/>
  <c r="F77" i="32"/>
  <c r="L23" i="32"/>
  <c r="M23" i="32" s="1"/>
  <c r="E26" i="59"/>
  <c r="F32" i="32"/>
  <c r="B20" i="6"/>
  <c r="L74" i="32"/>
  <c r="M74" i="32" s="1"/>
  <c r="F103" i="32"/>
  <c r="F133" i="32" s="1"/>
  <c r="B7" i="49"/>
  <c r="F129" i="32"/>
  <c r="F122" i="32"/>
  <c r="L18" i="32"/>
  <c r="L79" i="32" s="1"/>
  <c r="F128" i="32"/>
  <c r="F121" i="32"/>
  <c r="M79" i="32"/>
  <c r="M12" i="32"/>
  <c r="E49" i="59"/>
  <c r="B64" i="11"/>
  <c r="L13" i="32"/>
  <c r="M13" i="32" s="1"/>
  <c r="N18" i="15"/>
  <c r="O18" i="15" s="1"/>
  <c r="N11" i="15"/>
  <c r="O11" i="15" s="1"/>
  <c r="N14" i="15"/>
  <c r="O14" i="15" s="1"/>
  <c r="N12" i="15"/>
  <c r="O12" i="15" s="1"/>
  <c r="F12" i="32"/>
  <c r="L9" i="32" s="1"/>
  <c r="M9" i="32" s="1"/>
  <c r="F9" i="32"/>
  <c r="F6" i="32"/>
  <c r="L4" i="32" s="1"/>
  <c r="M4" i="32" s="1"/>
  <c r="N17" i="15"/>
  <c r="O17" i="15" s="1"/>
  <c r="N10" i="15"/>
  <c r="O10" i="15" s="1"/>
  <c r="N15" i="15"/>
  <c r="O15" i="15" s="1"/>
  <c r="F5" i="32"/>
  <c r="L3" i="32" s="1"/>
  <c r="M3" i="32" s="1"/>
  <c r="B5" i="15"/>
  <c r="O16" i="15"/>
  <c r="B7" i="13"/>
  <c r="F15" i="32"/>
  <c r="E41" i="59" l="1"/>
  <c r="E66" i="60"/>
  <c r="E161" i="32" s="1"/>
  <c r="L6" i="32"/>
  <c r="M6" i="32" s="1"/>
  <c r="L11" i="32"/>
  <c r="M11" i="32" s="1"/>
  <c r="F14" i="32"/>
  <c r="E9" i="59" s="1"/>
  <c r="L68" i="32"/>
  <c r="M68" i="32" s="1"/>
  <c r="E43" i="59"/>
  <c r="E38" i="59"/>
  <c r="E45" i="59"/>
  <c r="F10" i="32"/>
  <c r="L7" i="32" s="1"/>
  <c r="M7" i="32" s="1"/>
  <c r="F11" i="32"/>
  <c r="L8" i="32" s="1"/>
  <c r="M8" i="32" s="1"/>
  <c r="B60" i="11"/>
  <c r="C5" i="15"/>
  <c r="B11" i="10"/>
  <c r="F4" i="32"/>
  <c r="F49" i="59" l="1"/>
  <c r="E149" i="32"/>
  <c r="F8" i="32"/>
  <c r="L2" i="32"/>
  <c r="L78" i="32" s="1"/>
  <c r="F3" i="32"/>
  <c r="E39" i="59"/>
  <c r="E10" i="59"/>
  <c r="B62" i="11"/>
  <c r="D5" i="15"/>
  <c r="F115" i="32" s="1"/>
  <c r="F118" i="32" s="1"/>
  <c r="B67" i="11" l="1"/>
  <c r="D46" i="11" s="1"/>
  <c r="E46" i="11" s="1"/>
  <c r="D27" i="11"/>
  <c r="E27" i="11" s="1"/>
  <c r="M2" i="32"/>
  <c r="M78" i="32" s="1"/>
  <c r="F127" i="32"/>
  <c r="F120" i="32"/>
  <c r="E90" i="60"/>
  <c r="F90" i="60" s="1"/>
  <c r="E5" i="59"/>
  <c r="E48" i="59" s="1"/>
  <c r="D29" i="11"/>
  <c r="E29" i="11" s="1"/>
  <c r="D37" i="11"/>
  <c r="E37" i="11" s="1"/>
  <c r="D28" i="11"/>
  <c r="E28" i="11" s="1"/>
  <c r="D30" i="11"/>
  <c r="E30" i="11" s="1"/>
  <c r="D36" i="11"/>
  <c r="E36" i="11" s="1"/>
  <c r="D31" i="11"/>
  <c r="E31" i="11" s="1"/>
  <c r="D33" i="11"/>
  <c r="E33" i="11" s="1"/>
  <c r="D35" i="11"/>
  <c r="E35" i="11" s="1"/>
  <c r="D34" i="11"/>
  <c r="E34" i="11" s="1"/>
  <c r="D32" i="11"/>
  <c r="E32" i="11" s="1"/>
  <c r="E65" i="60" l="1"/>
  <c r="E148" i="32" s="1"/>
  <c r="D47" i="11"/>
  <c r="E47" i="11" s="1"/>
  <c r="B4" i="11"/>
  <c r="D44" i="11"/>
  <c r="E44" i="11" s="1"/>
  <c r="D45" i="11"/>
  <c r="E45" i="11" s="1"/>
  <c r="D49" i="11"/>
  <c r="E49" i="11" s="1"/>
  <c r="D48" i="11"/>
  <c r="E48" i="11" s="1"/>
  <c r="D52" i="11"/>
  <c r="E52" i="11" s="1"/>
  <c r="D50" i="11"/>
  <c r="E50" i="11" s="1"/>
  <c r="D51" i="11"/>
  <c r="E51" i="11" s="1"/>
  <c r="D53" i="11"/>
  <c r="E53" i="11" s="1"/>
  <c r="E160" i="32"/>
  <c r="F48" i="59"/>
  <c r="F49" i="32"/>
  <c r="B5" i="11" l="1"/>
  <c r="F50" i="32" s="1"/>
  <c r="L36" i="32" s="1"/>
  <c r="M36" i="32" s="1"/>
  <c r="L35" i="32"/>
  <c r="E19" i="59" l="1"/>
  <c r="E50" i="59" s="1"/>
  <c r="E67" i="60" s="1"/>
  <c r="F50" i="59" s="1"/>
  <c r="L80" i="32"/>
  <c r="L81" i="32" s="1"/>
  <c r="F48" i="32"/>
  <c r="F131" i="32" s="1"/>
  <c r="M35" i="32"/>
  <c r="M80" i="32" s="1"/>
  <c r="M81" i="32" s="1"/>
  <c r="E51" i="59" l="1"/>
  <c r="E68" i="60" s="1"/>
  <c r="E151" i="32" s="1"/>
  <c r="E154" i="32" s="1"/>
  <c r="F123" i="32"/>
  <c r="F125" i="32" s="1"/>
  <c r="F124" i="32"/>
  <c r="F126" i="32" s="1"/>
  <c r="G70" i="32" s="1"/>
  <c r="F132" i="32"/>
  <c r="E150" i="32"/>
  <c r="E162" i="32"/>
  <c r="E163" i="32"/>
  <c r="G3" i="32"/>
  <c r="G115" i="32"/>
  <c r="G84" i="32"/>
  <c r="G104" i="32"/>
  <c r="G79" i="32"/>
  <c r="G62" i="32"/>
  <c r="G73" i="32"/>
  <c r="G119" i="32"/>
  <c r="G97" i="32"/>
  <c r="G88" i="32"/>
  <c r="G95" i="32"/>
  <c r="G87" i="32"/>
  <c r="G113" i="32"/>
  <c r="G99" i="32"/>
  <c r="G67" i="32"/>
  <c r="G117" i="32"/>
  <c r="G66" i="32"/>
  <c r="G81" i="32"/>
  <c r="G86" i="32"/>
  <c r="G60" i="32"/>
  <c r="G114" i="32"/>
  <c r="G116" i="32"/>
  <c r="G105" i="32"/>
  <c r="G72" i="32"/>
  <c r="G65" i="32"/>
  <c r="G101" i="32"/>
  <c r="G80" i="32"/>
  <c r="G74" i="32"/>
  <c r="G78" i="32"/>
  <c r="G75" i="32"/>
  <c r="G85" i="32"/>
  <c r="G120" i="32"/>
  <c r="G68" i="32"/>
  <c r="G96" i="32"/>
  <c r="G59" i="32"/>
  <c r="G118" i="32"/>
  <c r="G64" i="32"/>
  <c r="G127" i="32"/>
  <c r="G130" i="32"/>
  <c r="G103" i="32"/>
  <c r="G133" i="32"/>
  <c r="G125" i="32" l="1"/>
  <c r="G89" i="32"/>
  <c r="G19" i="32"/>
  <c r="G20" i="32"/>
  <c r="G21" i="32"/>
  <c r="G83" i="32"/>
  <c r="G77" i="32"/>
  <c r="E54" i="59"/>
  <c r="G27" i="32"/>
  <c r="G131" i="32"/>
  <c r="G122" i="32"/>
  <c r="G124" i="32"/>
  <c r="G126" i="32"/>
  <c r="G132" i="32"/>
  <c r="G123" i="32"/>
  <c r="G128" i="32"/>
  <c r="G121" i="32"/>
  <c r="E166" i="32"/>
  <c r="G129" i="32"/>
  <c r="G69" i="32"/>
  <c r="G91" i="32"/>
  <c r="G35" i="32"/>
  <c r="G43" i="32"/>
  <c r="G54" i="32"/>
  <c r="G31" i="32"/>
  <c r="G55" i="32"/>
  <c r="G37" i="32"/>
  <c r="G56" i="32"/>
  <c r="G36" i="32"/>
  <c r="G38" i="32"/>
  <c r="G46" i="32"/>
  <c r="G57" i="32"/>
  <c r="G33" i="32"/>
  <c r="G52" i="32"/>
  <c r="G39" i="32"/>
  <c r="G47" i="32"/>
  <c r="G58" i="32"/>
  <c r="G51" i="32"/>
  <c r="G41" i="32"/>
  <c r="G40" i="32"/>
  <c r="G34" i="32"/>
  <c r="G42" i="32"/>
  <c r="G53" i="32"/>
  <c r="G32" i="32"/>
  <c r="G44" i="32"/>
  <c r="G45" i="32"/>
  <c r="F67" i="60"/>
  <c r="G7" i="32"/>
  <c r="G22" i="32"/>
  <c r="G24" i="32"/>
  <c r="G13" i="32"/>
  <c r="G25" i="32"/>
  <c r="G23" i="32"/>
  <c r="G16" i="32"/>
  <c r="G6" i="32"/>
  <c r="G15" i="32"/>
  <c r="G9" i="32"/>
  <c r="G5" i="32"/>
  <c r="G18" i="32"/>
  <c r="G12" i="32"/>
  <c r="G10" i="32"/>
  <c r="G17" i="32"/>
  <c r="G14" i="32"/>
  <c r="G11" i="32"/>
  <c r="G4" i="32"/>
  <c r="G8" i="32"/>
  <c r="G49" i="32"/>
  <c r="G50" i="32"/>
  <c r="G48" i="32"/>
  <c r="G28" i="32"/>
  <c r="E76" i="60" l="1"/>
  <c r="E77" i="60" s="1"/>
  <c r="F65" i="60"/>
  <c r="F66" i="60"/>
  <c r="E78" i="60"/>
  <c r="F51" i="59"/>
  <c r="E71" i="60"/>
  <c r="F54"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Prigge</author>
  </authors>
  <commentList>
    <comment ref="F10" authorId="0" shapeId="0" xr:uid="{6A214A9D-9427-4F30-AB14-3E2BC497865E}">
      <text>
        <r>
          <rPr>
            <b/>
            <sz val="9"/>
            <color indexed="81"/>
            <rFont val="Tahoma"/>
            <family val="2"/>
          </rPr>
          <t>Josh Prigge:</t>
        </r>
        <r>
          <rPr>
            <sz val="9"/>
            <color indexed="81"/>
            <rFont val="Tahoma"/>
            <family val="2"/>
          </rPr>
          <t xml:space="preserve">
Based on average weight of vine trunk from Jackson Family Wines.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Sophia White</author>
  </authors>
  <commentList>
    <comment ref="D442" authorId="0" shapeId="0" xr:uid="{08438C0B-1A5C-4D6C-8FA2-1001F17B6F4B}">
      <text>
        <r>
          <rPr>
            <b/>
            <sz val="9"/>
            <color indexed="81"/>
            <rFont val="Tahoma"/>
            <family val="2"/>
          </rPr>
          <t>Sophia White:</t>
        </r>
        <r>
          <rPr>
            <sz val="9"/>
            <color indexed="81"/>
            <rFont val="Tahoma"/>
            <family val="2"/>
          </rPr>
          <t xml:space="preserve">
Assumed pre 2010 there are no BEV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<sst xmlns="http://schemas.openxmlformats.org/spreadsheetml/2006/main" count="5195" uniqueCount="2040">
  <si>
    <t>About This Tool</t>
  </si>
  <si>
    <t>User Support</t>
  </si>
  <si>
    <t>Fees for User Support:
   ▪   2-hour Data Quality Analysis of Completed Inventories: $350
   ▪   User Support as Requested: $175/hour</t>
  </si>
  <si>
    <t>Contacts:</t>
  </si>
  <si>
    <t>About IWCA</t>
  </si>
  <si>
    <t>The wine industry is one of the agricultural activities most affected by global climate change. Grapevines are extremely sensitive to subtle changes in weather, making grapes particularly vulnerable to heat and drought, and this could ultimately put the quality of our wines at risk.</t>
  </si>
  <si>
    <t>International Wineries for Climate Action (IWCA) is a collaborative working group of environmentally committed wineries focused on a science-based approach to reducing carbon emissions across the wine industry. Each member within IWCA takes responsibility to hold ourselves and each other accountable to build a cleaner, more resilient wine community for future generations.</t>
  </si>
  <si>
    <t>IWCA is open to wineries from any country who recognize that climate change is the most significant threat facing the wine industry, and who are guided by the urgency for strategic action that accelerates the implementation of strategies and innovative solutions to tackle climate change. Our goal is to share best practices that mitigate climate impacts in vineyard and winery operations so that we can act collectively to decarbonize the global wine industry today, by applying direct solutions avoiding offsetting carbon credits.</t>
  </si>
  <si>
    <t>IWCA was co-founded by Familia Torres and Jackson Family Wines, two leading wineries with a multigenerational vision rooted in environmental stewardship and responsible business practices.</t>
  </si>
  <si>
    <t>IWCA has received the 2020 Wine Enthusiast Wine Star Award for Social Visionary on the Year.</t>
  </si>
  <si>
    <t>https://www.iwcawine.org/</t>
  </si>
  <si>
    <t>3rd Party Verification</t>
  </si>
  <si>
    <t>IWCA Members are required to have their GHG emissions inventory verified to the ISO-14064-1 standard, consistent with the World Resources Institute's GHG Protocol, save for any IWCA divergences from the Protocol, as outlined in the IWCA GHG Inventory Scopes Document (https://www.iwcawine.org/ghg-emissions#guidance). The winery must use an audit firm that is ISO-14064-3 accredited or accredited as a solutions provider in CDP’s Greenhouse Gas Emissions Inventory services area (https://www.cdp.net/en/info/accredited-solutions-providers/all-accredited-service-providers).</t>
  </si>
  <si>
    <t>IWCA has negotiated preferred pricing for IWCA Members using LRQA for verification. Please contact an IWCA Admin for an appropriate LRQA contact in your region.</t>
  </si>
  <si>
    <t>https://www.lrqa.com/</t>
  </si>
  <si>
    <t>United Nations' Race to Zero Campaign</t>
  </si>
  <si>
    <t>Race To Zero is a global campaign rallying non-state actors - including companies, cities, regions, financial, educational, and healthcare institutions - to take rigorous and immediate action to halve global emissions by 2030 and deliver a healthier, fairer zero carbon world. 
Since June 2020, over 11,000 members have joined the campaign and are committed to the same overarching goal: reducing emissions across all scopes swiftly and fairly in line with the Paris Agreement, with transparent action plans and robust near-term targets.
All members must meet robust science-aligned criteria, which was clarified and strengthened through an extensive consultation process in June 2022. Partner initiatives are responsible for helping to bring members to the starting line to credibly race to zero emissions. IWCA was the first Race To Zero Partner representing the broader food and agriculture sector.</t>
  </si>
  <si>
    <t>IWCA was the first Food/Ag representative invited to join and participate in this global effort, and all IWCA Members are similarly recognized as members of the UN's Race To Zero campaign.</t>
  </si>
  <si>
    <t>https://racetozero.unfccc.int/system/race-to-zero/</t>
  </si>
  <si>
    <t>Baseline Year</t>
  </si>
  <si>
    <t>Production Unit</t>
  </si>
  <si>
    <t>Scope 3: Purchased Goods and Services</t>
  </si>
  <si>
    <t>Scope 3: Capital Goods</t>
  </si>
  <si>
    <t xml:space="preserve">Capital Goods represent all company spending on infrastructure and durable goods.  Similar to Purchased Goods and Services, spending on CAPEX can generate emissions due to increased economic activity, however quantifying those emissions are beyond the boundaries of what the IWCA GHG template is able to calculate.   For wineries that do want to calculate this IWCA optional category more information is listed on the Purchased Products tab.   </t>
  </si>
  <si>
    <t>Scope 3: Upstream &amp; Downstream Leased Assets</t>
  </si>
  <si>
    <t>For many wineries this category is not relevant.  To include emissions associated with this category please reach out to Sustridge for additional support.</t>
  </si>
  <si>
    <t>Scope 3: Franchises</t>
  </si>
  <si>
    <t>Scope 3: Investments</t>
  </si>
  <si>
    <t>Soil Carbon Sequestration</t>
  </si>
  <si>
    <t>Carbon sequestration in the vineyard is included in the inventory in the short term carbon cycle (biogenic emissions).  The carbon sequestered is measured by this tool but can not be subtracted from Scopes 1-3 carbon emissions based on current WRI guidance.  Please use the purple tabs to calculate short term carbon emissions and read a summary of IWCA ongoing research on soil carbon sequestration on the last tab of this workbook.</t>
  </si>
  <si>
    <t>IWCA GHG Requirements</t>
  </si>
  <si>
    <t>Scope</t>
  </si>
  <si>
    <t>GHG Protocol Category</t>
  </si>
  <si>
    <r>
      <t xml:space="preserve">ISO 14064-1:2018 Category*
</t>
    </r>
    <r>
      <rPr>
        <b/>
        <i/>
        <sz val="14"/>
        <color theme="1"/>
        <rFont val="Calibri"/>
        <family val="2"/>
        <scheme val="minor"/>
      </rPr>
      <t>(see Notes below table)</t>
    </r>
  </si>
  <si>
    <t>Activity</t>
  </si>
  <si>
    <t>CO2mte</t>
  </si>
  <si>
    <r>
      <t xml:space="preserve">% of Total Scope 1-3^
</t>
    </r>
    <r>
      <rPr>
        <b/>
        <i/>
        <sz val="14"/>
        <color theme="0"/>
        <rFont val="Calibri"/>
        <family val="2"/>
        <scheme val="minor"/>
      </rPr>
      <t>(see Notes below table)</t>
    </r>
  </si>
  <si>
    <t>Category</t>
  </si>
  <si>
    <t>Subcategory</t>
  </si>
  <si>
    <t>Scope 1</t>
  </si>
  <si>
    <t>Stationary</t>
  </si>
  <si>
    <t>Included</t>
  </si>
  <si>
    <t>Stationary Emissions</t>
  </si>
  <si>
    <t>Category 1</t>
  </si>
  <si>
    <t>Natural Gas</t>
  </si>
  <si>
    <t>LPG</t>
  </si>
  <si>
    <t>Diesel</t>
  </si>
  <si>
    <t>Mobile</t>
  </si>
  <si>
    <t>Petrol</t>
  </si>
  <si>
    <t>Mobile Emissions</t>
  </si>
  <si>
    <t>Motor Petrol</t>
  </si>
  <si>
    <t>Diesel Clear - Road Vehicles</t>
  </si>
  <si>
    <t>Diesel Red Dyed - Agricultural</t>
  </si>
  <si>
    <t>Aviation Petrol</t>
  </si>
  <si>
    <t>Vineyard Practices</t>
  </si>
  <si>
    <t>Refrig</t>
  </si>
  <si>
    <t>Refrigerants</t>
  </si>
  <si>
    <t>Fertilizer Application</t>
  </si>
  <si>
    <t>Bio Burning</t>
  </si>
  <si>
    <t>Biomass Burning</t>
  </si>
  <si>
    <t>Soil Emissions</t>
  </si>
  <si>
    <r>
      <t>CO</t>
    </r>
    <r>
      <rPr>
        <b/>
        <vertAlign val="subscript"/>
        <sz val="11"/>
        <rFont val="Calibri"/>
        <family val="2"/>
        <scheme val="minor"/>
      </rPr>
      <t>2</t>
    </r>
    <r>
      <rPr>
        <b/>
        <sz val="11"/>
        <rFont val="Calibri"/>
        <family val="2"/>
        <scheme val="minor"/>
      </rPr>
      <t xml:space="preserve"> Used in Winemaking</t>
    </r>
  </si>
  <si>
    <t>On-site Waste</t>
  </si>
  <si>
    <t>Land Conversion</t>
  </si>
  <si>
    <t>Onsite Wastewater Treatment</t>
  </si>
  <si>
    <t>Scope 2</t>
  </si>
  <si>
    <t>Electricity</t>
  </si>
  <si>
    <t>Grid kWh</t>
  </si>
  <si>
    <t>Scope 3</t>
  </si>
  <si>
    <t>OPEX</t>
  </si>
  <si>
    <t>Biomass Burning (CH4 and N2O)</t>
  </si>
  <si>
    <t>Packaging</t>
  </si>
  <si>
    <t>CO2</t>
  </si>
  <si>
    <t>CO2 Used in Winemaking</t>
  </si>
  <si>
    <t xml:space="preserve">Scope 2 </t>
  </si>
  <si>
    <t>Category 2</t>
  </si>
  <si>
    <t xml:space="preserve">Scope 2 Location-Based Emissions </t>
  </si>
  <si>
    <t>Scope 2 Market-Based Emissions</t>
  </si>
  <si>
    <t>Upstream</t>
  </si>
  <si>
    <t>Purchased Goods and Services</t>
  </si>
  <si>
    <t>Optional</t>
  </si>
  <si>
    <t>Category 4</t>
  </si>
  <si>
    <t>Bottles</t>
  </si>
  <si>
    <t>Capsules</t>
  </si>
  <si>
    <t>Cork</t>
  </si>
  <si>
    <t>Knock Down Boxes</t>
  </si>
  <si>
    <t>Box Partitions</t>
  </si>
  <si>
    <t>Labels</t>
  </si>
  <si>
    <t>Purchased Products</t>
  </si>
  <si>
    <t>Pallets</t>
  </si>
  <si>
    <t>Slip Sheets</t>
  </si>
  <si>
    <t>Screw Caps</t>
  </si>
  <si>
    <t>Stickers</t>
  </si>
  <si>
    <t>Tissue Paper</t>
  </si>
  <si>
    <t>Wooden Box</t>
  </si>
  <si>
    <t>Neckers</t>
  </si>
  <si>
    <t>Wax</t>
  </si>
  <si>
    <t>Wine bag in box</t>
  </si>
  <si>
    <t xml:space="preserve">Purchased Products </t>
  </si>
  <si>
    <t>Purchased Grapes</t>
  </si>
  <si>
    <t>Purchased Wine</t>
  </si>
  <si>
    <t>T&amp;D Losses</t>
  </si>
  <si>
    <t>Line Loss</t>
  </si>
  <si>
    <t>Upstream Transportation</t>
  </si>
  <si>
    <t>Purchased Barrels (embedded)</t>
  </si>
  <si>
    <t>Bottle Transport by Third Party</t>
  </si>
  <si>
    <t>Fertilizer Production</t>
  </si>
  <si>
    <t>Offsite Waste</t>
  </si>
  <si>
    <t>Capital Goods</t>
  </si>
  <si>
    <t>CAPEX</t>
  </si>
  <si>
    <t>Category 3</t>
  </si>
  <si>
    <t>Fuel- and Energy-Related Activities Not Included in Scope 1 or Scope 2</t>
  </si>
  <si>
    <t>Upstream Fuel Emissions</t>
  </si>
  <si>
    <t>Business Travel</t>
  </si>
  <si>
    <t>Stationary Fuels</t>
  </si>
  <si>
    <t>Mobile Fuels</t>
  </si>
  <si>
    <t>Location-Based T&amp;D Losses</t>
  </si>
  <si>
    <t>Employee Commuting</t>
  </si>
  <si>
    <t>Market-Based T&amp;D Losses</t>
  </si>
  <si>
    <t>Tasting Room Traffic</t>
  </si>
  <si>
    <t>Upstream Transportation and Distribution</t>
  </si>
  <si>
    <t>Product Transport</t>
  </si>
  <si>
    <t>Barrel Transport</t>
  </si>
  <si>
    <t>Upstream Product Transport</t>
  </si>
  <si>
    <t>Post Consumer Waste</t>
  </si>
  <si>
    <t>Operations</t>
  </si>
  <si>
    <t>Category 5</t>
  </si>
  <si>
    <t>Waste Generated in Operations</t>
  </si>
  <si>
    <t xml:space="preserve">Offsite Waste </t>
  </si>
  <si>
    <t>Waste to Landfill Emissions</t>
  </si>
  <si>
    <t>Recycling Emissions</t>
  </si>
  <si>
    <t>Market-Based</t>
  </si>
  <si>
    <t>Location-Based</t>
  </si>
  <si>
    <t>Compost Emissions</t>
  </si>
  <si>
    <t>Wastewater Treatment</t>
  </si>
  <si>
    <t>Category 6</t>
  </si>
  <si>
    <t>Scopes 1-3</t>
  </si>
  <si>
    <t>Passenger Vehicles</t>
  </si>
  <si>
    <t>Air Travel</t>
  </si>
  <si>
    <t>Rideshare</t>
  </si>
  <si>
    <t>Train</t>
  </si>
  <si>
    <t>Bus</t>
  </si>
  <si>
    <t>Category 7</t>
  </si>
  <si>
    <t>Employee Commute</t>
  </si>
  <si>
    <t>Category 8</t>
  </si>
  <si>
    <t>Upstream Leased Assets</t>
  </si>
  <si>
    <t>NA</t>
  </si>
  <si>
    <t>Downstream</t>
  </si>
  <si>
    <t>Category 9</t>
  </si>
  <si>
    <t>Downstream Transportation and Distribution</t>
  </si>
  <si>
    <t>Domestic Product Transport</t>
  </si>
  <si>
    <t>International Product Transport</t>
  </si>
  <si>
    <t>Processing of Sold Products</t>
  </si>
  <si>
    <t>Distributor/Retailer Refrigeration</t>
  </si>
  <si>
    <t>Category 11</t>
  </si>
  <si>
    <t>Use of Sold Products</t>
  </si>
  <si>
    <t>Consumer Home Refrigeration</t>
  </si>
  <si>
    <t>Category 12</t>
  </si>
  <si>
    <t>End of Life Treatment of Sold Products</t>
  </si>
  <si>
    <t>Australia</t>
  </si>
  <si>
    <t xml:space="preserve">International  </t>
  </si>
  <si>
    <t>Category 13</t>
  </si>
  <si>
    <t>Downstream Leased Assets</t>
  </si>
  <si>
    <t>Franchises</t>
  </si>
  <si>
    <t>Category 14</t>
  </si>
  <si>
    <t>Investments</t>
  </si>
  <si>
    <t>Category 15</t>
  </si>
  <si>
    <t>Other</t>
  </si>
  <si>
    <t>Short Term Carbon Cycle</t>
  </si>
  <si>
    <t>Winemaking</t>
  </si>
  <si>
    <t>Winemaking Practices - Fermentation</t>
  </si>
  <si>
    <t>Biomass Photosynthesis</t>
  </si>
  <si>
    <t>Biomass Photosynthesis (- is sequestration)</t>
  </si>
  <si>
    <t>Row Cropping</t>
  </si>
  <si>
    <t>Row Cropping Sequestration</t>
  </si>
  <si>
    <t>Compost Application</t>
  </si>
  <si>
    <t>Short-term Carbon Cycle Total</t>
  </si>
  <si>
    <t>Biogenic Emissions</t>
  </si>
  <si>
    <t>Anthropogenic Biogenic Emissions</t>
  </si>
  <si>
    <t>Totals</t>
  </si>
  <si>
    <t>Scope 1 Total</t>
  </si>
  <si>
    <t>Scope 2 LB</t>
  </si>
  <si>
    <t>Scope 2 Location Based Total</t>
  </si>
  <si>
    <t>Scope 2 MB</t>
  </si>
  <si>
    <t>Scope 2 Market Based Total</t>
  </si>
  <si>
    <t>Scope 3 LB</t>
  </si>
  <si>
    <t>Scope 3 Location Based Total</t>
  </si>
  <si>
    <t>Scope 3 MB</t>
  </si>
  <si>
    <t>Scope 3 Market Based Total</t>
  </si>
  <si>
    <t>Scope 1-3 LB</t>
  </si>
  <si>
    <t>Scopes 1-3 Total (Location Based)</t>
  </si>
  <si>
    <t>Scope 1-3 MB</t>
  </si>
  <si>
    <t>Scopes 1-3 Total (Market Based)</t>
  </si>
  <si>
    <t>ISO Category 1</t>
  </si>
  <si>
    <t>ISO Category 1 Total</t>
  </si>
  <si>
    <t>ISO Category 2 LB</t>
  </si>
  <si>
    <t>ISO Category 2 Location Based Total</t>
  </si>
  <si>
    <t>ISO Category 2 MB</t>
  </si>
  <si>
    <t>ISO Category 2 Market Based Total</t>
  </si>
  <si>
    <t>ISO Category 3</t>
  </si>
  <si>
    <t>ISO Category 3 Total</t>
  </si>
  <si>
    <t>ISO Category 4 LB</t>
  </si>
  <si>
    <t>ISO Category 4 Location Based Total</t>
  </si>
  <si>
    <t>ISO Category 4 MB</t>
  </si>
  <si>
    <t>ISO Category 4 Market Based Total</t>
  </si>
  <si>
    <t>ISO Category 5</t>
  </si>
  <si>
    <t>ISO Category 5 Total</t>
  </si>
  <si>
    <t>Notes</t>
  </si>
  <si>
    <t>* ISO 14064-1:2018 categories were matched to GHG Protocol categories using Toitū's framework: https://www.toitu.co.nz/what-we-offer/carbon-management/summary-of-toitu-carbon-programmes-standard#mapping</t>
  </si>
  <si>
    <t>^ Cells E27 and E55 on the "GHG Emissions Breakdown" tab must be completed in order for percentage data to populate correctly in Column G.</t>
  </si>
  <si>
    <t>Our Company (Baseline)</t>
  </si>
  <si>
    <t>IWCA Average 
(Small Wineries, Baseline)</t>
  </si>
  <si>
    <t>IWCA Average 
(Large Wineries, Baseline)</t>
  </si>
  <si>
    <t>Our Company (Most Recent Year)</t>
  </si>
  <si>
    <t>Reporting Year</t>
  </si>
  <si>
    <t>Baseline Year (varies by winery)</t>
  </si>
  <si>
    <t>Production Volume (liters)</t>
  </si>
  <si>
    <t>Production Volume (9L cases)</t>
  </si>
  <si>
    <t>Data based on 6 wineries</t>
  </si>
  <si>
    <t>Data based on 7 wineries</t>
  </si>
  <si>
    <t>Data based on 3 wineries</t>
  </si>
  <si>
    <t>Data based on 11 wineries</t>
  </si>
  <si>
    <t>IWCA GHG EMISSIONS BREAKDOWN</t>
  </si>
  <si>
    <t>SCOPE 1</t>
  </si>
  <si>
    <r>
      <t xml:space="preserve">Comments </t>
    </r>
    <r>
      <rPr>
        <sz val="11"/>
        <color theme="9" tint="-0.499984740745262"/>
        <rFont val="Calibri"/>
        <family val="2"/>
      </rPr>
      <t>(</t>
    </r>
    <r>
      <rPr>
        <i/>
        <u/>
        <sz val="11"/>
        <color theme="9" tint="-0.499984740745262"/>
        <rFont val="Calibri"/>
        <family val="2"/>
      </rPr>
      <t>Note</t>
    </r>
    <r>
      <rPr>
        <i/>
        <sz val="11"/>
        <color theme="9" tint="-0.499984740745262"/>
        <rFont val="Calibri"/>
        <family val="2"/>
      </rPr>
      <t>: If emissions are zero or not reported, you must specify here the reason why</t>
    </r>
    <r>
      <rPr>
        <sz val="11"/>
        <color theme="9" tint="-0.499984740745262"/>
        <rFont val="Calibri"/>
        <family val="2"/>
      </rPr>
      <t>)</t>
    </r>
    <r>
      <rPr>
        <b/>
        <sz val="11"/>
        <color theme="9" tint="-0.499984740745262"/>
        <rFont val="Calibri"/>
        <family val="2"/>
      </rPr>
      <t>~</t>
    </r>
  </si>
  <si>
    <t>Direct Emission Sources</t>
  </si>
  <si>
    <t>Any/All fuel use for company business 
(winery/vineyard/logistics fuel use, natural gas, LPG, gasoline, diesel, butane, etc.)</t>
  </si>
  <si>
    <t>Change in land use (i.e., deforestation to plant new vineyards)</t>
  </si>
  <si>
    <t>Fugitive emissions from refrigerant gases</t>
  </si>
  <si>
    <r>
      <t>CO</t>
    </r>
    <r>
      <rPr>
        <vertAlign val="subscript"/>
        <sz val="11"/>
        <color theme="9" tint="-0.499984740745262"/>
        <rFont val="Calibri"/>
        <family val="2"/>
      </rPr>
      <t>2</t>
    </r>
    <r>
      <rPr>
        <sz val="11"/>
        <color theme="9" tint="-0.499984740745262"/>
        <rFont val="Calibri"/>
        <family val="2"/>
      </rPr>
      <t xml:space="preserve"> used in winemaking or any other process</t>
    </r>
  </si>
  <si>
    <t>Vineyard soil emissions and fertilizer emissions from nitrogen application</t>
  </si>
  <si>
    <t>On-site waste (methane from wastewater treatment)</t>
  </si>
  <si>
    <t>SCOPE 2</t>
  </si>
  <si>
    <t>Choose location- or market-based via drop-down menu
*Market-based should be used for companies with operations in markets providing supplier-specific data (EU, US, Australia, Japan, most LatAm countries etc.), while location-based is best used in markets that do not provide product or supplier-specific data or other contractual instruments.</t>
  </si>
  <si>
    <t>SCOPE 3</t>
  </si>
  <si>
    <t>Crop protection materials (e.g., herbicides, pesticides, fungicides) and fertilizer production</t>
  </si>
  <si>
    <t xml:space="preserve">Grapevine trellising </t>
  </si>
  <si>
    <t>Purchased grapes from external grower partners; purchased wine, bulk wine, or distillate</t>
  </si>
  <si>
    <t>Biomass treatment (used as fuel for biomass boiler)</t>
  </si>
  <si>
    <t>Winemaking gases (purchased embedded emissions) and winemaking products (yeast, bentonite, etc.)</t>
  </si>
  <si>
    <t>Wastewater treatment and/or water purification products</t>
  </si>
  <si>
    <t>Purchased wine barrels</t>
  </si>
  <si>
    <t>Purchased municipal water</t>
  </si>
  <si>
    <t>Packaging Materials</t>
  </si>
  <si>
    <t>Wine bottles; wine bag in box; corks; capsules (poly); capsules (tin); screwcaps; labels; stickers; etc.</t>
  </si>
  <si>
    <t>Partitions; separators; carton; knock down boxes; pads; tissue paper; slip sheets; etc.</t>
  </si>
  <si>
    <t>Pallets (include embedded emissions for purchased pallets); wood boxes; etc.</t>
  </si>
  <si>
    <t>Scarfs; neckers / neck scarfs; bottle adornments; etc.</t>
  </si>
  <si>
    <t>Outsourced Transportation</t>
  </si>
  <si>
    <t>Case goods transport (to distributors &amp; consumers)</t>
  </si>
  <si>
    <t>Outsourced Production</t>
  </si>
  <si>
    <r>
      <t xml:space="preserve">Own land farming and/or harvesting performed by third party
</t>
    </r>
    <r>
      <rPr>
        <i/>
        <sz val="11"/>
        <color rgb="FF006699"/>
        <rFont val="Calibri"/>
        <family val="2"/>
      </rPr>
      <t>Winery may choose, based on its judgment and that of its auditor, whether to allocate these emissions to Scope 1 under "Any/all fuel use for company business."</t>
    </r>
  </si>
  <si>
    <t>Wine bottled in third party bottling plant</t>
  </si>
  <si>
    <t>Travel</t>
  </si>
  <si>
    <t>Employee commute</t>
  </si>
  <si>
    <t>Business travel (car, plane, train, etc.)</t>
  </si>
  <si>
    <t>Fuel Use</t>
  </si>
  <si>
    <t>Upstream stationary and mobile fuel emissions not accounted for in another category</t>
  </si>
  <si>
    <t>Offsite Waste / Loss</t>
  </si>
  <si>
    <t>Offsite solid waste and recycling (including its transport)</t>
  </si>
  <si>
    <t>Input location- or market-based via dropdown menu.</t>
  </si>
  <si>
    <t>Postconsumption</t>
  </si>
  <si>
    <t xml:space="preserve">Disposal of the product (if not recycled) </t>
  </si>
  <si>
    <t>Energy consumed at the shop / supermarket and energy consumed to cool the wine before use</t>
  </si>
  <si>
    <r>
      <t xml:space="preserve">Summary Table
</t>
    </r>
    <r>
      <rPr>
        <b/>
        <u/>
        <sz val="10"/>
        <color rgb="FFFF0000"/>
        <rFont val="Calibri"/>
        <family val="2"/>
      </rPr>
      <t>NOTE</t>
    </r>
    <r>
      <rPr>
        <b/>
        <sz val="10"/>
        <color rgb="FFFF0000"/>
        <rFont val="Calibri"/>
        <family val="2"/>
      </rPr>
      <t xml:space="preserve">: </t>
    </r>
    <r>
      <rPr>
        <sz val="10"/>
        <color rgb="FFFF0000"/>
        <rFont val="Calibri"/>
        <family val="2"/>
      </rPr>
      <t xml:space="preserve">Manually adjusted values in this tab are carried to the "Audit Summary Form" tab but are </t>
    </r>
    <r>
      <rPr>
        <b/>
        <u/>
        <sz val="10"/>
        <color rgb="FFFF0000"/>
        <rFont val="Calibri"/>
        <family val="2"/>
      </rPr>
      <t>NOT</t>
    </r>
    <r>
      <rPr>
        <sz val="10"/>
        <color rgb="FFFF0000"/>
        <rFont val="Calibri"/>
        <family val="2"/>
      </rPr>
      <t xml:space="preserve"> carried to the "Summary" tab.</t>
    </r>
  </si>
  <si>
    <t>Accuracy Self-Test^</t>
  </si>
  <si>
    <t>Production Volume (in liters of wine)</t>
  </si>
  <si>
    <r>
      <t>GHG Emissions Intensity (KgCO</t>
    </r>
    <r>
      <rPr>
        <b/>
        <vertAlign val="subscript"/>
        <sz val="16"/>
        <color theme="0"/>
        <rFont val="Calibri"/>
        <family val="2"/>
      </rPr>
      <t>2</t>
    </r>
    <r>
      <rPr>
        <b/>
        <sz val="16"/>
        <color theme="0"/>
        <rFont val="Calibri"/>
        <family val="2"/>
      </rPr>
      <t>e/liter of wine)</t>
    </r>
  </si>
  <si>
    <t>Absolute GHG Emissions "in-setting" (only the below accepted)</t>
  </si>
  <si>
    <t>Third-party verified reforestation or other carbon sequestration projects on owned or permanently protected land that meets globally recognized permanence and additionality requirements for nature-based carbon removal</t>
  </si>
  <si>
    <t>To consider for the inventory:</t>
  </si>
  <si>
    <t>IWCA GHG INVENTORY AUDIT SUMMARY FORM</t>
  </si>
  <si>
    <t>GHG Inventory Protocol</t>
  </si>
  <si>
    <t>Certification / Audit</t>
  </si>
  <si>
    <t>Winery Name</t>
  </si>
  <si>
    <t>to be input by auditor</t>
  </si>
  <si>
    <t>Geographic Scope</t>
  </si>
  <si>
    <t>Today's Date:</t>
  </si>
  <si>
    <t>Annual Production</t>
  </si>
  <si>
    <t>Curent Audit Year:</t>
  </si>
  <si>
    <t>Reporting Timeframe</t>
  </si>
  <si>
    <t>to be input by auditor (indicate the 12-month period that encompasses the inventory)</t>
  </si>
  <si>
    <t>Baseline Audit Year:</t>
  </si>
  <si>
    <t>Winery/Brand Scope</t>
  </si>
  <si>
    <t>3rd Party Auditor</t>
  </si>
  <si>
    <t>IWCA Inventory Completeness Validation</t>
  </si>
  <si>
    <t>The Auditor must select which categories apply to the current audit and if not, specify the reason why</t>
  </si>
  <si>
    <t>Applies (Yes/No)</t>
  </si>
  <si>
    <r>
      <t xml:space="preserve">Comments </t>
    </r>
    <r>
      <rPr>
        <sz val="11"/>
        <color theme="9" tint="-0.499984740745262"/>
        <rFont val="Calibri"/>
        <family val="2"/>
      </rPr>
      <t>(</t>
    </r>
    <r>
      <rPr>
        <i/>
        <u/>
        <sz val="11"/>
        <color theme="9" tint="-0.499984740745262"/>
        <rFont val="Calibri"/>
        <family val="2"/>
      </rPr>
      <t>Note</t>
    </r>
    <r>
      <rPr>
        <i/>
        <sz val="11"/>
        <color theme="9" tint="-0.499984740745262"/>
        <rFont val="Calibri"/>
        <family val="2"/>
      </rPr>
      <t>: If category does not apply, you must specify here the reason why</t>
    </r>
    <r>
      <rPr>
        <sz val="11"/>
        <color theme="9" tint="-0.499984740745262"/>
        <rFont val="Calibri"/>
        <family val="2"/>
      </rPr>
      <t>)^</t>
    </r>
  </si>
  <si>
    <t>Any/All fuel use for company business 
(winery / vineyard / logistics fuel use, natural gas, LPG, gasoline, diesel, butane, etc.)</t>
  </si>
  <si>
    <t>Any other accountable category</t>
  </si>
  <si>
    <t>Electricity purchased from local utility grid (either location-based or market-based emissions factors allowed)</t>
  </si>
  <si>
    <t>Crop protection materials (e.g., herbicides, pesticides, fungicides) and fertilizers production</t>
  </si>
  <si>
    <t>Any other packaging material</t>
  </si>
  <si>
    <t>Harvesting transport (for internal fruit only) and grape transport (for grower fruit only)</t>
  </si>
  <si>
    <t>Purchased bottling material and wine barrel transport</t>
  </si>
  <si>
    <t>Purchased wine and distillate transport (includes third-party transport of wine / juice between facilities)</t>
  </si>
  <si>
    <t>Biomass transport (used as fuel for biomass boiler)</t>
  </si>
  <si>
    <t>Wine club shipments</t>
  </si>
  <si>
    <t>Own land farming and/or harvesting performed by third party</t>
  </si>
  <si>
    <t>Location- / market-based transmission and distribution losses (from purchased electricity)</t>
  </si>
  <si>
    <r>
      <t xml:space="preserve">ISO-14064 Audit Summary
</t>
    </r>
    <r>
      <rPr>
        <sz val="10"/>
        <color rgb="FFFF0000"/>
        <rFont val="Calibri"/>
        <family val="2"/>
      </rPr>
      <t>The "GHG Emissions Breakdown" tab must be completed in order for emissions data to populate correctly in this table.</t>
    </r>
  </si>
  <si>
    <t xml:space="preserve">% of Current Year </t>
  </si>
  <si>
    <t>% of Baseline Year</t>
  </si>
  <si>
    <r>
      <t>Absolute GHG Emissions "in-setting" (MTCO</t>
    </r>
    <r>
      <rPr>
        <b/>
        <vertAlign val="subscript"/>
        <sz val="16"/>
        <color theme="0"/>
        <rFont val="Calibri"/>
        <family val="2"/>
      </rPr>
      <t>2</t>
    </r>
    <r>
      <rPr>
        <b/>
        <sz val="16"/>
        <color theme="0"/>
        <rFont val="Calibri"/>
        <family val="2"/>
      </rPr>
      <t>e, only the below accepted)*</t>
    </r>
  </si>
  <si>
    <r>
      <t>GHG Emissions Intensity considering "in-setting" (KgCO</t>
    </r>
    <r>
      <rPr>
        <b/>
        <vertAlign val="subscript"/>
        <sz val="16"/>
        <color theme="0"/>
        <rFont val="Calibri"/>
        <family val="2"/>
      </rPr>
      <t>2</t>
    </r>
    <r>
      <rPr>
        <b/>
        <sz val="16"/>
        <color theme="0"/>
        <rFont val="Calibri"/>
        <family val="2"/>
      </rPr>
      <t xml:space="preserve">e/liter) </t>
    </r>
    <r>
      <rPr>
        <b/>
        <u/>
        <sz val="14"/>
        <rFont val="Calibri"/>
        <family val="2"/>
      </rPr>
      <t>Auditor</t>
    </r>
    <r>
      <rPr>
        <b/>
        <sz val="14"/>
        <rFont val="Calibri"/>
        <family val="2"/>
      </rPr>
      <t>: Use this value on the IWCA certificate</t>
    </r>
  </si>
  <si>
    <t>GHG Emissions Reduction Achieved vs Baseline Year (per liter)</t>
  </si>
  <si>
    <r>
      <t>GHG Emissions Reduction Achieved vs Baseline Year (absolute, MTCO</t>
    </r>
    <r>
      <rPr>
        <b/>
        <vertAlign val="subscript"/>
        <sz val="16"/>
        <color theme="0"/>
        <rFont val="Calibri"/>
        <family val="2"/>
      </rPr>
      <t>2</t>
    </r>
    <r>
      <rPr>
        <b/>
        <sz val="16"/>
        <color theme="0"/>
        <rFont val="Calibri"/>
        <family val="2"/>
      </rPr>
      <t>e)*</t>
    </r>
  </si>
  <si>
    <r>
      <rPr>
        <b/>
        <sz val="14"/>
        <color theme="9" tint="-0.499984740745262"/>
        <rFont val="Calibri"/>
        <family val="2"/>
      </rPr>
      <t>Optional</t>
    </r>
    <r>
      <rPr>
        <sz val="14"/>
        <color theme="9" tint="-0.499984740745262"/>
        <rFont val="Calibri"/>
        <family val="2"/>
      </rPr>
      <t xml:space="preserve"> Best Practice: Anthropogenic Biogenic Emissions (tracked but not included in Scopes 1-2-3)</t>
    </r>
  </si>
  <si>
    <t xml:space="preserve"> </t>
  </si>
  <si>
    <r>
      <rPr>
        <b/>
        <sz val="14"/>
        <color theme="9" tint="-0.499984740745262"/>
        <rFont val="Calibri"/>
        <family val="2"/>
      </rPr>
      <t>Optional</t>
    </r>
    <r>
      <rPr>
        <sz val="14"/>
        <color theme="9" tint="-0.499984740745262"/>
        <rFont val="Calibri"/>
        <family val="2"/>
      </rPr>
      <t xml:space="preserve"> Best Practice: Short Term Carbon Cycle (tracked but not included in Scopes 1-2-3)</t>
    </r>
  </si>
  <si>
    <t>Winemaking fermentation emissions</t>
  </si>
  <si>
    <t>Vineyard biomass photosynthesis</t>
  </si>
  <si>
    <t>Row cropping sequestration</t>
  </si>
  <si>
    <t>Compost application</t>
  </si>
  <si>
    <t>Note to the Auditor:</t>
  </si>
  <si>
    <r>
      <t xml:space="preserve">Please remind the winery to complete the second tab of this document (GHG Emissions Breakdown). The auditor does </t>
    </r>
    <r>
      <rPr>
        <b/>
        <u/>
        <sz val="11"/>
        <color theme="9" tint="-0.499984740745262"/>
        <rFont val="Calibri"/>
        <family val="2"/>
      </rPr>
      <t>NOT</t>
    </r>
    <r>
      <rPr>
        <sz val="11"/>
        <color theme="9" tint="-0.499984740745262"/>
        <rFont val="Calibri"/>
        <family val="2"/>
      </rPr>
      <t xml:space="preserve"> need to verify the GHG Emissions Breakdown tab.</t>
    </r>
  </si>
  <si>
    <t>Enter all mobile fuels used in direct operations including natural gas, propane, diesel generators.
Enter as total volume (most desired), miles traveled (second most desired) or dollars spent
Do not double count (e.g. inputting gallons used for vehicles that also have miles traveled input)
This is for company-owned vehicles only (personal vehicle use, taxis etc. included in Business Travel)</t>
  </si>
  <si>
    <t>Color Key</t>
  </si>
  <si>
    <t>To be filled in:</t>
  </si>
  <si>
    <t>Calculated:</t>
  </si>
  <si>
    <t>Constants:</t>
  </si>
  <si>
    <t>Scope 1 (Direct)</t>
  </si>
  <si>
    <t>Scope 3 (Upstream)</t>
  </si>
  <si>
    <t>Total CO2e 
(metric tonne)</t>
  </si>
  <si>
    <t>Diesel - On Road</t>
  </si>
  <si>
    <t>Diesel - for Agriculture</t>
  </si>
  <si>
    <t>Total</t>
  </si>
  <si>
    <t>Petrol (by Litres or total dollars spent)</t>
  </si>
  <si>
    <t>Petrol (Litre)</t>
  </si>
  <si>
    <t>Source Data from:</t>
  </si>
  <si>
    <t>Location</t>
  </si>
  <si>
    <t>Petrol
(litre)</t>
  </si>
  <si>
    <t>Kiloliters
(kL)</t>
  </si>
  <si>
    <t>Energy
(GJ)</t>
  </si>
  <si>
    <t>OR</t>
  </si>
  <si>
    <t>Total Petrol
(litre)</t>
  </si>
  <si>
    <t>Petrol (by vehicle kilometers traveled)</t>
  </si>
  <si>
    <t>Petrol - Passenger Vehicles</t>
  </si>
  <si>
    <t>Total Distance Driven
(km)</t>
  </si>
  <si>
    <t>Average Vehicle Efficiency
(km/l)</t>
  </si>
  <si>
    <t>Passenger Vehicle 22.5 mpg / 9.565733 kpl in GHG Protocol Cross Sector emission factors (https://ghgprotocol.org/calculation-tools#cross_sector_tools_id)</t>
  </si>
  <si>
    <t>Petrol - Light Duty Trucks</t>
  </si>
  <si>
    <t>On Road Diesel (by litres or total dollars spent)</t>
  </si>
  <si>
    <t>Diesel (litres)</t>
  </si>
  <si>
    <t>Diesel 
(litres)</t>
  </si>
  <si>
    <t>Diesel Litres</t>
  </si>
  <si>
    <t>On Road Diesel (by vehicle kilometer traveled)</t>
  </si>
  <si>
    <t>Diesel - Light Duty Trucks</t>
  </si>
  <si>
    <t>Diesel - Heavy Duty Trucks</t>
  </si>
  <si>
    <t>Heavy Duty Truck 8.8 mpg / 3.74126 in GHG Protocol Cross Sector emission factors (https://ghgprotocol.org/calculation-tools#cross_sector_tools_id)</t>
  </si>
  <si>
    <t>Diesel for Agriculture (by litres or total dollars spent)</t>
  </si>
  <si>
    <t>Diesel for Agriculture (litres)</t>
  </si>
  <si>
    <t>Diesel for Agriculture
(litre)</t>
  </si>
  <si>
    <t>Diesel for Agriculture (dollars spent)</t>
  </si>
  <si>
    <t>LPG (by litres or total dollars spent)</t>
  </si>
  <si>
    <t>LPG (litres)</t>
  </si>
  <si>
    <t>Litres</t>
  </si>
  <si>
    <t>Kilolitres</t>
  </si>
  <si>
    <t>Need to convert propane units?</t>
  </si>
  <si>
    <t>CLICK HERE</t>
  </si>
  <si>
    <t>LPG (dollars spent)</t>
  </si>
  <si>
    <t>Dollars Spent</t>
  </si>
  <si>
    <t>Aviation Fuel</t>
  </si>
  <si>
    <t xml:space="preserve">Aviation Fuel </t>
  </si>
  <si>
    <t>Total Aviation Fuel 
(litre)</t>
  </si>
  <si>
    <t>Aviation Fuel (Kerosene)</t>
  </si>
  <si>
    <t>Total Kerosene Aviation Fuel 
(litre)</t>
  </si>
  <si>
    <t>Helicopters (hours)</t>
  </si>
  <si>
    <t>Emission Source</t>
  </si>
  <si>
    <t>Hours used</t>
  </si>
  <si>
    <t>kgCO2e/hr</t>
  </si>
  <si>
    <t>Total CO2 Equivalents 
(metric tons)</t>
  </si>
  <si>
    <t>Total Upstream CO2 Equivalents 
(metric tons)</t>
  </si>
  <si>
    <t>Eurocopter AS 350B Squirrel</t>
  </si>
  <si>
    <t>Eurocopter AS 350B3 Squirrel</t>
  </si>
  <si>
    <t>Robinson R44</t>
  </si>
  <si>
    <t>Robinson R22 Beta</t>
  </si>
  <si>
    <t>Bell 206B</t>
  </si>
  <si>
    <t>Use blue rows to input helicopter information for helicopters that are not included in the first 5 rows</t>
  </si>
  <si>
    <t>Include source data in Source data from</t>
  </si>
  <si>
    <t>Enter all stationary fuels used in direct operations including natural gas, LPG, diesel generators.
Enter as total volume (most desired) or dollars spent
Input Natural Gas Scope 3 emissions factor based on State or territory</t>
  </si>
  <si>
    <t>Scope 1 
(Direct)</t>
  </si>
  <si>
    <t>Scope 3 
(Upstream)</t>
  </si>
  <si>
    <t>kWh</t>
  </si>
  <si>
    <t>Heating value (mmBTU)</t>
  </si>
  <si>
    <t>Total Stationary Energy used</t>
  </si>
  <si>
    <t>Natural Gas (kWh)</t>
  </si>
  <si>
    <t>Natural Gas 
(kWh)</t>
  </si>
  <si>
    <t>kWh to GJ
(GJ)</t>
  </si>
  <si>
    <t xml:space="preserve">*Scope 3 emission factor average of all territories. Territory specific factors available in EF tab. </t>
  </si>
  <si>
    <t>Natural Gas (GJ)</t>
  </si>
  <si>
    <t>Natural Gas 
(GJ)</t>
  </si>
  <si>
    <t>Need to convert natural gas units?</t>
  </si>
  <si>
    <t>Total Stationary fuel used</t>
  </si>
  <si>
    <t>Volume
(Litre)</t>
  </si>
  <si>
    <t>Volume
(kL)</t>
  </si>
  <si>
    <t>Gallons used</t>
  </si>
  <si>
    <t>Standard Cubic Feet</t>
  </si>
  <si>
    <t>Heating Value 
(MMBtu)</t>
  </si>
  <si>
    <t>Need to convert LPG units?</t>
  </si>
  <si>
    <t xml:space="preserve">Diesel  </t>
  </si>
  <si>
    <t>Diesel (for generators)</t>
  </si>
  <si>
    <t>Petrol (AUD $ spent)</t>
  </si>
  <si>
    <t>Dollars Spent
(AUD$)</t>
  </si>
  <si>
    <t>Vineyard Soil and Fertilizer Emissions</t>
  </si>
  <si>
    <t>Summary</t>
  </si>
  <si>
    <t>Fertilizer Emissions CO2 
(mte)</t>
  </si>
  <si>
    <t>Soil Emissions CO2 
(mte)</t>
  </si>
  <si>
    <t>Hectares</t>
  </si>
  <si>
    <t>Sum of Total N 
(kg)</t>
  </si>
  <si>
    <t>N2O 
(kg)</t>
  </si>
  <si>
    <t>CO2 from Soil Emissions 
(metric tonne)</t>
  </si>
  <si>
    <t>TOTALS</t>
  </si>
  <si>
    <t>Fertilizer Emissions</t>
  </si>
  <si>
    <t>CO2 Equivalents
(metric tonne)</t>
  </si>
  <si>
    <t>Indirect N2O emissions - volatilization</t>
  </si>
  <si>
    <t>Indirect N2O emissions - leaching</t>
  </si>
  <si>
    <t>N-Fertilizer used 
(kg)</t>
  </si>
  <si>
    <t>N content
(%)</t>
  </si>
  <si>
    <t>Total N Input
(kg)</t>
  </si>
  <si>
    <t>% Volatized N 
as NH3 and Nox</t>
  </si>
  <si>
    <t>Volatized N
(kg)</t>
  </si>
  <si>
    <t>Unvolatized N input
(kg)</t>
  </si>
  <si>
    <t>% of N leaching 
(from total input)</t>
  </si>
  <si>
    <t>Leached N
(kg)</t>
  </si>
  <si>
    <r>
      <t>Emission Factors</t>
    </r>
    <r>
      <rPr>
        <sz val="12"/>
        <rFont val="Calibri"/>
        <family val="2"/>
        <scheme val="minor"/>
      </rPr>
      <t xml:space="preserve">: All emission factors are obtained from the IPCC website: http://www.ipcc-nggip.iges.or.jp/EFDB/find_ef.php. </t>
    </r>
  </si>
  <si>
    <r>
      <t>Methodology</t>
    </r>
    <r>
      <rPr>
        <sz val="12"/>
        <rFont val="Calibri"/>
        <family val="2"/>
        <scheme val="minor"/>
      </rPr>
      <t>: The GHG emissions from the application of N-containing fertilizers are calculated using the methodology as described in the U.S. Agriculture and Forestry Greenhouse Gas Inventory: 1990-2001, Chapter 3: Cropland Agriculture (p. 67, 68) (http://www.usda.gov/oce/global_change/inventory_1990_2001/USDA%20GHG%20Inventory%20Chapter%203.pdf)</t>
    </r>
  </si>
  <si>
    <t xml:space="preserve">Indirect N2O emissions from volatilization of NH3 and NOx </t>
  </si>
  <si>
    <t>Total volatized N
(kg)</t>
  </si>
  <si>
    <t>Emission Factor
(kg N2O-N/kg N volatized)</t>
  </si>
  <si>
    <t>Direct Emissions
(kg N)</t>
  </si>
  <si>
    <t>Conversion Factor
(N into N2O)</t>
  </si>
  <si>
    <t>Direct Emissions
(kg N2O)</t>
  </si>
  <si>
    <t>Indirect N2O emissions from leaching and run-off</t>
  </si>
  <si>
    <t>Total  leached N
(kg)</t>
  </si>
  <si>
    <t>Emission Factor
(kg N2O-N/kg N leached)</t>
  </si>
  <si>
    <t>Wastewater Emissions</t>
  </si>
  <si>
    <t>Offsite Wastewater Treatment</t>
  </si>
  <si>
    <t>Wastewater 
(litres)</t>
  </si>
  <si>
    <t>Wastewater 
(kL)</t>
  </si>
  <si>
    <t>Chemical Oxygen Demand (COD) 
(kg per kL)</t>
  </si>
  <si>
    <t>CO2 
(metric tons)</t>
  </si>
  <si>
    <t>*3.711 is common COD of winery wastewater; assumes no captured methane</t>
  </si>
  <si>
    <t>Enter total amount (kg) of each refrigerant purchased or used during reporting period.</t>
  </si>
  <si>
    <t>Refrigerant Emissions</t>
  </si>
  <si>
    <t xml:space="preserve">Industrial Designation or Common Name </t>
  </si>
  <si>
    <t>Chemical formula</t>
  </si>
  <si>
    <t>Amount
(kg)</t>
  </si>
  <si>
    <t>Alternate Name</t>
  </si>
  <si>
    <t>Global Warming Potential</t>
  </si>
  <si>
    <t>Carbon dioxide (R - 744)</t>
  </si>
  <si>
    <r>
      <t>CO</t>
    </r>
    <r>
      <rPr>
        <vertAlign val="subscript"/>
        <sz val="14"/>
        <color rgb="FF000000"/>
        <rFont val="Calibri"/>
        <family val="2"/>
        <scheme val="minor"/>
      </rPr>
      <t>2 </t>
    </r>
    <r>
      <rPr>
        <sz val="14"/>
        <color rgb="FF000000"/>
        <rFont val="Calibri"/>
        <family val="2"/>
        <scheme val="minor"/>
      </rPr>
      <t> </t>
    </r>
  </si>
  <si>
    <t xml:space="preserve">CO2 </t>
  </si>
  <si>
    <t>Carbon dioxide</t>
  </si>
  <si>
    <t>Methane</t>
  </si>
  <si>
    <r>
      <t>CH</t>
    </r>
    <r>
      <rPr>
        <vertAlign val="subscript"/>
        <sz val="14"/>
        <color rgb="FF000000"/>
        <rFont val="Calibri"/>
        <family val="2"/>
        <scheme val="minor"/>
      </rPr>
      <t>4 </t>
    </r>
  </si>
  <si>
    <t>Nitrous oxide (R-744a)</t>
  </si>
  <si>
    <r>
      <t>N</t>
    </r>
    <r>
      <rPr>
        <vertAlign val="subscript"/>
        <sz val="14"/>
        <color rgb="FF000000"/>
        <rFont val="Calibri"/>
        <family val="2"/>
        <scheme val="minor"/>
      </rPr>
      <t>2</t>
    </r>
    <r>
      <rPr>
        <sz val="14"/>
        <color rgb="FF000000"/>
        <rFont val="Calibri"/>
        <family val="2"/>
        <scheme val="minor"/>
      </rPr>
      <t>O </t>
    </r>
  </si>
  <si>
    <t>Sulphur hexafluoride</t>
  </si>
  <si>
    <t>SF6</t>
  </si>
  <si>
    <t xml:space="preserve">Substances controlled by the Montreal Protocol </t>
  </si>
  <si>
    <t>CFC-11  (R-11)</t>
  </si>
  <si>
    <r>
      <t>CCl</t>
    </r>
    <r>
      <rPr>
        <vertAlign val="subscript"/>
        <sz val="14"/>
        <color rgb="FF000000"/>
        <rFont val="Calibri"/>
        <family val="2"/>
        <scheme val="minor"/>
      </rPr>
      <t>3</t>
    </r>
    <r>
      <rPr>
        <sz val="14"/>
        <color rgb="FF000000"/>
        <rFont val="Calibri"/>
        <family val="2"/>
        <scheme val="minor"/>
      </rPr>
      <t>F  </t>
    </r>
  </si>
  <si>
    <t>CFC-12  (R-12)</t>
  </si>
  <si>
    <r>
      <t>CCl</t>
    </r>
    <r>
      <rPr>
        <vertAlign val="subscript"/>
        <sz val="14"/>
        <color rgb="FF000000"/>
        <rFont val="Calibri"/>
        <family val="2"/>
        <scheme val="minor"/>
      </rPr>
      <t>2</t>
    </r>
    <r>
      <rPr>
        <sz val="14"/>
        <color rgb="FF000000"/>
        <rFont val="Calibri"/>
        <family val="2"/>
        <scheme val="minor"/>
      </rPr>
      <t>F</t>
    </r>
    <r>
      <rPr>
        <vertAlign val="subscript"/>
        <sz val="14"/>
        <color rgb="FF000000"/>
        <rFont val="Calibri"/>
        <family val="2"/>
        <scheme val="minor"/>
      </rPr>
      <t>2 </t>
    </r>
    <r>
      <rPr>
        <sz val="14"/>
        <color rgb="FF000000"/>
        <rFont val="Calibri"/>
        <family val="2"/>
        <scheme val="minor"/>
      </rPr>
      <t> </t>
    </r>
  </si>
  <si>
    <t>CFC-13  (R-13)</t>
  </si>
  <si>
    <r>
      <t>CClF</t>
    </r>
    <r>
      <rPr>
        <vertAlign val="subscript"/>
        <sz val="14"/>
        <color rgb="FF000000"/>
        <rFont val="Calibri"/>
        <family val="2"/>
        <scheme val="minor"/>
      </rPr>
      <t>3 </t>
    </r>
    <r>
      <rPr>
        <sz val="14"/>
        <color rgb="FF000000"/>
        <rFont val="Calibri"/>
        <family val="2"/>
        <scheme val="minor"/>
      </rPr>
      <t> </t>
    </r>
  </si>
  <si>
    <t>CFC-113  (R-113)</t>
  </si>
  <si>
    <r>
      <t>CCl</t>
    </r>
    <r>
      <rPr>
        <vertAlign val="subscript"/>
        <sz val="14"/>
        <color rgb="FF000000"/>
        <rFont val="Calibri"/>
        <family val="2"/>
        <scheme val="minor"/>
      </rPr>
      <t>2</t>
    </r>
    <r>
      <rPr>
        <sz val="14"/>
        <color rgb="FF000000"/>
        <rFont val="Calibri"/>
        <family val="2"/>
        <scheme val="minor"/>
      </rPr>
      <t>FCClF</t>
    </r>
    <r>
      <rPr>
        <vertAlign val="subscript"/>
        <sz val="14"/>
        <color rgb="FF000000"/>
        <rFont val="Calibri"/>
        <family val="2"/>
        <scheme val="minor"/>
      </rPr>
      <t>2 </t>
    </r>
    <r>
      <rPr>
        <sz val="14"/>
        <color rgb="FF000000"/>
        <rFont val="Calibri"/>
        <family val="2"/>
        <scheme val="minor"/>
      </rPr>
      <t> </t>
    </r>
  </si>
  <si>
    <t>CFC-114  (R-114)</t>
  </si>
  <si>
    <r>
      <t>CClF</t>
    </r>
    <r>
      <rPr>
        <vertAlign val="subscript"/>
        <sz val="14"/>
        <color rgb="FF000000"/>
        <rFont val="Calibri"/>
        <family val="2"/>
        <scheme val="minor"/>
      </rPr>
      <t>2</t>
    </r>
    <r>
      <rPr>
        <sz val="14"/>
        <color rgb="FF000000"/>
        <rFont val="Calibri"/>
        <family val="2"/>
        <scheme val="minor"/>
      </rPr>
      <t>CClF</t>
    </r>
    <r>
      <rPr>
        <vertAlign val="subscript"/>
        <sz val="14"/>
        <color rgb="FF000000"/>
        <rFont val="Calibri"/>
        <family val="2"/>
        <scheme val="minor"/>
      </rPr>
      <t>2 </t>
    </r>
    <r>
      <rPr>
        <sz val="14"/>
        <color rgb="FF000000"/>
        <rFont val="Calibri"/>
        <family val="2"/>
        <scheme val="minor"/>
      </rPr>
      <t> </t>
    </r>
  </si>
  <si>
    <t>CFC-115  (R-115)</t>
  </si>
  <si>
    <r>
      <t>CClF</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3 </t>
    </r>
    <r>
      <rPr>
        <sz val="14"/>
        <color rgb="FF000000"/>
        <rFont val="Calibri"/>
        <family val="2"/>
        <scheme val="minor"/>
      </rPr>
      <t> </t>
    </r>
  </si>
  <si>
    <t>Halon-1301  (R-1301)</t>
  </si>
  <si>
    <r>
      <t>CBrF</t>
    </r>
    <r>
      <rPr>
        <vertAlign val="subscript"/>
        <sz val="14"/>
        <color rgb="FF000000"/>
        <rFont val="Calibri"/>
        <family val="2"/>
        <scheme val="minor"/>
      </rPr>
      <t>3 </t>
    </r>
    <r>
      <rPr>
        <sz val="14"/>
        <color rgb="FF000000"/>
        <rFont val="Calibri"/>
        <family val="2"/>
        <scheme val="minor"/>
      </rPr>
      <t> </t>
    </r>
  </si>
  <si>
    <t>Halon-1211  (R-1211)</t>
  </si>
  <si>
    <r>
      <t>CBrClF</t>
    </r>
    <r>
      <rPr>
        <vertAlign val="subscript"/>
        <sz val="14"/>
        <color rgb="FF000000"/>
        <rFont val="Calibri"/>
        <family val="2"/>
        <scheme val="minor"/>
      </rPr>
      <t>2 </t>
    </r>
    <r>
      <rPr>
        <sz val="14"/>
        <color rgb="FF000000"/>
        <rFont val="Calibri"/>
        <family val="2"/>
        <scheme val="minor"/>
      </rPr>
      <t> </t>
    </r>
  </si>
  <si>
    <t>Halon-2402  (R-2402)</t>
  </si>
  <si>
    <r>
      <t>CBrF</t>
    </r>
    <r>
      <rPr>
        <vertAlign val="subscript"/>
        <sz val="14"/>
        <color rgb="FF000000"/>
        <rFont val="Calibri"/>
        <family val="2"/>
        <scheme val="minor"/>
      </rPr>
      <t>2</t>
    </r>
    <r>
      <rPr>
        <sz val="14"/>
        <color rgb="FF000000"/>
        <rFont val="Calibri"/>
        <family val="2"/>
        <scheme val="minor"/>
      </rPr>
      <t>CBrF</t>
    </r>
    <r>
      <rPr>
        <vertAlign val="subscript"/>
        <sz val="14"/>
        <color rgb="FF000000"/>
        <rFont val="Calibri"/>
        <family val="2"/>
        <scheme val="minor"/>
      </rPr>
      <t>2 </t>
    </r>
    <r>
      <rPr>
        <sz val="14"/>
        <color rgb="FF000000"/>
        <rFont val="Calibri"/>
        <family val="2"/>
        <scheme val="minor"/>
      </rPr>
      <t> </t>
    </r>
  </si>
  <si>
    <t>Carbon tetrachloride  (R-10)</t>
  </si>
  <si>
    <r>
      <t>CCl</t>
    </r>
    <r>
      <rPr>
        <vertAlign val="subscript"/>
        <sz val="14"/>
        <color rgb="FF000000"/>
        <rFont val="Calibri"/>
        <family val="2"/>
        <scheme val="minor"/>
      </rPr>
      <t>4 </t>
    </r>
    <r>
      <rPr>
        <sz val="14"/>
        <color rgb="FF000000"/>
        <rFont val="Calibri"/>
        <family val="2"/>
        <scheme val="minor"/>
      </rPr>
      <t> </t>
    </r>
  </si>
  <si>
    <t>Methyl bromide  </t>
  </si>
  <si>
    <r>
      <t>CH</t>
    </r>
    <r>
      <rPr>
        <vertAlign val="subscript"/>
        <sz val="14"/>
        <color rgb="FF000000"/>
        <rFont val="Calibri"/>
        <family val="2"/>
        <scheme val="minor"/>
      </rPr>
      <t>3</t>
    </r>
    <r>
      <rPr>
        <sz val="14"/>
        <color rgb="FF000000"/>
        <rFont val="Calibri"/>
        <family val="2"/>
        <scheme val="minor"/>
      </rPr>
      <t>Br  </t>
    </r>
  </si>
  <si>
    <t>Methyl chloroform  </t>
  </si>
  <si>
    <r>
      <t>CH</t>
    </r>
    <r>
      <rPr>
        <vertAlign val="subscript"/>
        <sz val="14"/>
        <color rgb="FF000000"/>
        <rFont val="Calibri"/>
        <family val="2"/>
        <scheme val="minor"/>
      </rPr>
      <t>3</t>
    </r>
    <r>
      <rPr>
        <sz val="14"/>
        <color rgb="FF000000"/>
        <rFont val="Calibri"/>
        <family val="2"/>
        <scheme val="minor"/>
      </rPr>
      <t>CCl</t>
    </r>
    <r>
      <rPr>
        <vertAlign val="subscript"/>
        <sz val="14"/>
        <color rgb="FF000000"/>
        <rFont val="Calibri"/>
        <family val="2"/>
        <scheme val="minor"/>
      </rPr>
      <t>3 </t>
    </r>
    <r>
      <rPr>
        <sz val="14"/>
        <color rgb="FF000000"/>
        <rFont val="Calibri"/>
        <family val="2"/>
        <scheme val="minor"/>
      </rPr>
      <t> </t>
    </r>
  </si>
  <si>
    <t>HCFC-22  (R-22)</t>
  </si>
  <si>
    <r>
      <t>CHClF</t>
    </r>
    <r>
      <rPr>
        <vertAlign val="subscript"/>
        <sz val="14"/>
        <color rgb="FF000000"/>
        <rFont val="Calibri"/>
        <family val="2"/>
        <scheme val="minor"/>
      </rPr>
      <t>2 </t>
    </r>
    <r>
      <rPr>
        <sz val="14"/>
        <color rgb="FF000000"/>
        <rFont val="Calibri"/>
        <family val="2"/>
        <scheme val="minor"/>
      </rPr>
      <t> </t>
    </r>
  </si>
  <si>
    <t>HCFC-123  (R-123)</t>
  </si>
  <si>
    <r>
      <t>CHCl</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3 </t>
    </r>
    <r>
      <rPr>
        <sz val="14"/>
        <color rgb="FF000000"/>
        <rFont val="Calibri"/>
        <family val="2"/>
        <scheme val="minor"/>
      </rPr>
      <t> </t>
    </r>
  </si>
  <si>
    <t>HCFC-124  (R-124)</t>
  </si>
  <si>
    <r>
      <t>CHClFCF</t>
    </r>
    <r>
      <rPr>
        <vertAlign val="subscript"/>
        <sz val="14"/>
        <color rgb="FF000000"/>
        <rFont val="Calibri"/>
        <family val="2"/>
        <scheme val="minor"/>
      </rPr>
      <t>3 </t>
    </r>
    <r>
      <rPr>
        <sz val="14"/>
        <color rgb="FF000000"/>
        <rFont val="Calibri"/>
        <family val="2"/>
        <scheme val="minor"/>
      </rPr>
      <t> </t>
    </r>
  </si>
  <si>
    <t>HCFC-141b  (R-141b)</t>
  </si>
  <si>
    <r>
      <t>CH</t>
    </r>
    <r>
      <rPr>
        <vertAlign val="subscript"/>
        <sz val="14"/>
        <color rgb="FF000000"/>
        <rFont val="Calibri"/>
        <family val="2"/>
        <scheme val="minor"/>
      </rPr>
      <t>3</t>
    </r>
    <r>
      <rPr>
        <sz val="14"/>
        <color rgb="FF000000"/>
        <rFont val="Calibri"/>
        <family val="2"/>
        <scheme val="minor"/>
      </rPr>
      <t>CCl</t>
    </r>
    <r>
      <rPr>
        <vertAlign val="subscript"/>
        <sz val="14"/>
        <color rgb="FF000000"/>
        <rFont val="Calibri"/>
        <family val="2"/>
        <scheme val="minor"/>
      </rPr>
      <t>2</t>
    </r>
    <r>
      <rPr>
        <sz val="14"/>
        <color rgb="FF000000"/>
        <rFont val="Calibri"/>
        <family val="2"/>
        <scheme val="minor"/>
      </rPr>
      <t>F  </t>
    </r>
  </si>
  <si>
    <t>HCFC-142b  (R-142b)</t>
  </si>
  <si>
    <r>
      <t>CH</t>
    </r>
    <r>
      <rPr>
        <vertAlign val="subscript"/>
        <sz val="14"/>
        <color rgb="FF000000"/>
        <rFont val="Calibri"/>
        <family val="2"/>
        <scheme val="minor"/>
      </rPr>
      <t>3</t>
    </r>
    <r>
      <rPr>
        <sz val="14"/>
        <color rgb="FF000000"/>
        <rFont val="Calibri"/>
        <family val="2"/>
        <scheme val="minor"/>
      </rPr>
      <t>CClF</t>
    </r>
    <r>
      <rPr>
        <vertAlign val="subscript"/>
        <sz val="14"/>
        <color rgb="FF000000"/>
        <rFont val="Calibri"/>
        <family val="2"/>
        <scheme val="minor"/>
      </rPr>
      <t>2 </t>
    </r>
    <r>
      <rPr>
        <sz val="14"/>
        <color rgb="FF000000"/>
        <rFont val="Calibri"/>
        <family val="2"/>
        <scheme val="minor"/>
      </rPr>
      <t> </t>
    </r>
  </si>
  <si>
    <t>HCFC-225ca  (R-225ca)</t>
  </si>
  <si>
    <r>
      <t>CHCl</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3 </t>
    </r>
    <r>
      <rPr>
        <sz val="14"/>
        <color rgb="FF000000"/>
        <rFont val="Calibri"/>
        <family val="2"/>
        <scheme val="minor"/>
      </rPr>
      <t> </t>
    </r>
  </si>
  <si>
    <t>HCFC-225cb  (R- 225cb)</t>
  </si>
  <si>
    <r>
      <t>CHClFCF</t>
    </r>
    <r>
      <rPr>
        <vertAlign val="subscript"/>
        <sz val="14"/>
        <color rgb="FF000000"/>
        <rFont val="Calibri"/>
        <family val="2"/>
        <scheme val="minor"/>
      </rPr>
      <t>2</t>
    </r>
    <r>
      <rPr>
        <sz val="14"/>
        <color rgb="FF000000"/>
        <rFont val="Calibri"/>
        <family val="2"/>
        <scheme val="minor"/>
      </rPr>
      <t>CClF</t>
    </r>
    <r>
      <rPr>
        <vertAlign val="subscript"/>
        <sz val="14"/>
        <color rgb="FF000000"/>
        <rFont val="Calibri"/>
        <family val="2"/>
        <scheme val="minor"/>
      </rPr>
      <t>2 </t>
    </r>
    <r>
      <rPr>
        <sz val="14"/>
        <color rgb="FF000000"/>
        <rFont val="Calibri"/>
        <family val="2"/>
        <scheme val="minor"/>
      </rPr>
      <t> </t>
    </r>
  </si>
  <si>
    <t>Hydrofluorocarbons </t>
  </si>
  <si>
    <t>HFC-23</t>
  </si>
  <si>
    <t>CHF3</t>
  </si>
  <si>
    <t>HFC-32</t>
  </si>
  <si>
    <t>CH2F2</t>
  </si>
  <si>
    <t>HFC-41</t>
  </si>
  <si>
    <t>CH3F</t>
  </si>
  <si>
    <t>HFC-43-10mee</t>
  </si>
  <si>
    <t>C5H2F10</t>
  </si>
  <si>
    <t>HFC-125</t>
  </si>
  <si>
    <t>C2HF5</t>
  </si>
  <si>
    <t>HFC-134</t>
  </si>
  <si>
    <t>C2H2F4 (CHF2CHF2)</t>
  </si>
  <si>
    <t>HFC-134a</t>
  </si>
  <si>
    <t>C2H2F4 (CH2FCF3)</t>
  </si>
  <si>
    <t>HFC-143</t>
  </si>
  <si>
    <t>C2H3F3 (CHF2CH2F)</t>
  </si>
  <si>
    <t>HFC-143a</t>
  </si>
  <si>
    <t>C2H3F3 (CF3CH3)</t>
  </si>
  <si>
    <t>HFC-152a</t>
  </si>
  <si>
    <t>C2H4F2 (CH3CHF2)</t>
  </si>
  <si>
    <t>HFC-227ea</t>
  </si>
  <si>
    <t>C3HF7</t>
  </si>
  <si>
    <t>HFC-236fa</t>
  </si>
  <si>
    <t>C3H2F6</t>
  </si>
  <si>
    <t>HFC-245ca</t>
  </si>
  <si>
    <t>C3H3F5</t>
  </si>
  <si>
    <t>HFC-245fa</t>
  </si>
  <si>
    <t>CHF2CH2CF3</t>
  </si>
  <si>
    <t>HFC-365mfc</t>
  </si>
  <si>
    <t>CH3CF2CH2CF3</t>
  </si>
  <si>
    <t>Perfluorinated compounds  </t>
  </si>
  <si>
    <t>Perfluoromethane 
(tetrafluoromethane)</t>
  </si>
  <si>
    <t>CF4</t>
  </si>
  <si>
    <t>Perfluoroethane 
(hexafluoroethane)</t>
  </si>
  <si>
    <t>C2F6</t>
  </si>
  <si>
    <t>Perfluoropropane</t>
  </si>
  <si>
    <t>C3F8</t>
  </si>
  <si>
    <t>Perfluorobutane</t>
  </si>
  <si>
    <t>C4F10</t>
  </si>
  <si>
    <t>Perfluorocyclobutane</t>
  </si>
  <si>
    <t>c-C4F8</t>
  </si>
  <si>
    <t>Perfluoropentane</t>
  </si>
  <si>
    <t>C5F12</t>
  </si>
  <si>
    <t>Perfluorohexane</t>
  </si>
  <si>
    <t>C6F14</t>
  </si>
  <si>
    <t>Enter total hectares of vines burned.
Enter average number of vines per hectare.</t>
  </si>
  <si>
    <t>Biomass Emissions</t>
  </si>
  <si>
    <t>Biomass Burned by Acres of Vines</t>
  </si>
  <si>
    <t>Area of Vines Burned
(hectares)</t>
  </si>
  <si>
    <t>Vines per Hectare</t>
  </si>
  <si>
    <t>Area of Vines Burned
(acres)</t>
  </si>
  <si>
    <t>Vines per Acre</t>
  </si>
  <si>
    <t>Average Trunk Weight per Vine 
(lbs)</t>
  </si>
  <si>
    <t>Based on average weight (7lb/3.182kg of vine trunk from Jackson Family Wines.</t>
  </si>
  <si>
    <t>Biomass Burned by Tons</t>
  </si>
  <si>
    <t>Biomass
(kg)</t>
  </si>
  <si>
    <t>Land Conversion Emissions</t>
  </si>
  <si>
    <t>Enter total nuber of hectares converted from forest or meadow to vineyards.</t>
  </si>
  <si>
    <t>Original Land Use</t>
  </si>
  <si>
    <t xml:space="preserve">Converted to </t>
  </si>
  <si>
    <t>Total CO2 Equivalents 
(metric tonne)</t>
  </si>
  <si>
    <t>Meadow</t>
  </si>
  <si>
    <t>Vineyard</t>
  </si>
  <si>
    <t>Forest</t>
  </si>
  <si>
    <t>Electricity Location Based Emissions</t>
  </si>
  <si>
    <t xml:space="preserve">Enter total kilowatt-hours of electricity used in all operations.
Use most recent year possible for baseline assesments. </t>
  </si>
  <si>
    <r>
      <rPr>
        <b/>
        <i/>
        <u/>
        <sz val="14"/>
        <color rgb="FFFF0000"/>
        <rFont val="Calibri"/>
        <family val="2"/>
        <scheme val="minor"/>
      </rPr>
      <t>Note</t>
    </r>
    <r>
      <rPr>
        <b/>
        <i/>
        <sz val="14"/>
        <color rgb="FFFF0000"/>
        <rFont val="Calibri"/>
        <family val="2"/>
        <scheme val="minor"/>
      </rPr>
      <t xml:space="preserve">: Electricity purchase values entered in Column B should be "gross" values and </t>
    </r>
    <r>
      <rPr>
        <b/>
        <i/>
        <u/>
        <sz val="14"/>
        <color rgb="FFFF0000"/>
        <rFont val="Calibri"/>
        <family val="2"/>
        <scheme val="minor"/>
      </rPr>
      <t>NOT</t>
    </r>
    <r>
      <rPr>
        <b/>
        <i/>
        <sz val="14"/>
        <color rgb="FFFF0000"/>
        <rFont val="Calibri"/>
        <family val="2"/>
        <scheme val="minor"/>
      </rPr>
      <t xml:space="preserve"> be "net" of any renewable energy returned to the grid.</t>
    </r>
  </si>
  <si>
    <t>Total Location Based Emissions</t>
  </si>
  <si>
    <t>Total Location Based T&amp;D Losses</t>
  </si>
  <si>
    <t>Total Market Based Emissions</t>
  </si>
  <si>
    <t>Total Market Based T&amp;D Losses</t>
  </si>
  <si>
    <r>
      <t xml:space="preserve">Please complete </t>
    </r>
    <r>
      <rPr>
        <b/>
        <u/>
        <sz val="16"/>
        <color rgb="FF006699"/>
        <rFont val="Calibri"/>
        <family val="2"/>
        <scheme val="minor"/>
      </rPr>
      <t>BOTH</t>
    </r>
    <r>
      <rPr>
        <b/>
        <sz val="16"/>
        <color rgb="FF006699"/>
        <rFont val="Calibri"/>
        <family val="2"/>
        <scheme val="minor"/>
      </rPr>
      <t xml:space="preserve"> the Location Based and Market Based tables below.</t>
    </r>
  </si>
  <si>
    <t>Renewable Energy Percentage Value</t>
  </si>
  <si>
    <r>
      <t xml:space="preserve">Location Based GHG Emissions 
</t>
    </r>
    <r>
      <rPr>
        <b/>
        <sz val="12"/>
        <color theme="0"/>
        <rFont val="Calibri"/>
        <family val="2"/>
        <scheme val="minor"/>
      </rPr>
      <t>(do not include onsite renewable energy generated and used)</t>
    </r>
  </si>
  <si>
    <t xml:space="preserve">Market-Based Emissions Rates </t>
  </si>
  <si>
    <t>T&amp;D Loss Emissions</t>
  </si>
  <si>
    <t>Purchase Year</t>
  </si>
  <si>
    <t>Total Purchased Energy
(kWh)</t>
  </si>
  <si>
    <t>Emission Factor 
(kg CO2-e/kWh)</t>
  </si>
  <si>
    <t>Total CO2 Equivalents 
(metric ton)</t>
  </si>
  <si>
    <t>New South Wales and the Australian Capital Territory</t>
  </si>
  <si>
    <t>Victoria</t>
  </si>
  <si>
    <t>Queensland</t>
  </si>
  <si>
    <t>South Australia</t>
  </si>
  <si>
    <t>South West Interconnected System (SWIS) in Western Australia</t>
  </si>
  <si>
    <t>North Western Interconnected System (NWIS) in Western Australia</t>
  </si>
  <si>
    <t>Darwin Katherine Interconnected System (DKIS) in the Northern Territory</t>
  </si>
  <si>
    <t>Tasmania</t>
  </si>
  <si>
    <t>Northern Territory</t>
  </si>
  <si>
    <t>Market Based GHG Emissions</t>
  </si>
  <si>
    <t xml:space="preserve">   </t>
  </si>
  <si>
    <r>
      <t xml:space="preserve">Electricity Source/Location
</t>
    </r>
    <r>
      <rPr>
        <sz val="16"/>
        <color theme="1"/>
        <rFont val="Calibri"/>
        <family val="2"/>
        <scheme val="minor"/>
      </rPr>
      <t>(see eGRID Map for locations)</t>
    </r>
  </si>
  <si>
    <t>Total kwhs Used/Purchased</t>
  </si>
  <si>
    <t>Direct Access 100% Renewable Energy</t>
  </si>
  <si>
    <t>Renewable Energy Credits</t>
  </si>
  <si>
    <r>
      <t>Onsite Renewable Energy</t>
    </r>
    <r>
      <rPr>
        <b/>
        <sz val="12"/>
        <color rgb="FFFF0000"/>
        <rFont val="Calibri"/>
        <family val="2"/>
        <scheme val="minor"/>
      </rPr>
      <t>*</t>
    </r>
  </si>
  <si>
    <r>
      <t xml:space="preserve">* Do </t>
    </r>
    <r>
      <rPr>
        <b/>
        <i/>
        <u/>
        <sz val="12"/>
        <color rgb="FFFF0000"/>
        <rFont val="Calibri"/>
        <family val="2"/>
        <scheme val="minor"/>
      </rPr>
      <t>NOT</t>
    </r>
    <r>
      <rPr>
        <i/>
        <sz val="12"/>
        <color rgb="FFFF0000"/>
        <rFont val="Calibri"/>
        <family val="2"/>
        <scheme val="minor"/>
      </rPr>
      <t xml:space="preserve"> offset onsite renewables generated against grid purchases.</t>
    </r>
  </si>
  <si>
    <t>Step 1</t>
  </si>
  <si>
    <t>Gross renewable energy generated onsite (kWh)</t>
  </si>
  <si>
    <t>Pulled from the Market-Based Table Above</t>
  </si>
  <si>
    <t>Total energy used at the winery</t>
  </si>
  <si>
    <t>Electricity Purchased (kWh)</t>
  </si>
  <si>
    <t>Total Electricity Purchased 
(from Market-Based table above)</t>
  </si>
  <si>
    <t>Total Electricity Purchased 
(from Location-Based table above)</t>
  </si>
  <si>
    <t>Total Electricity Purchased</t>
  </si>
  <si>
    <t>If Cell B62 reads "FALSE", please ensure that the total "Energy Purchased" entered in the Market-based table equals the total entered in the Location-based table.</t>
  </si>
  <si>
    <t>Heating Value (MMBtu)</t>
  </si>
  <si>
    <t>1 MMBtu = 293.07 kWh</t>
  </si>
  <si>
    <t>Stationary fuel used</t>
  </si>
  <si>
    <t>Step 2</t>
  </si>
  <si>
    <t>Number from step 1</t>
  </si>
  <si>
    <t>Gross Renewable energy generated onsite (kWh)</t>
  </si>
  <si>
    <t>Electricity purchased (kWh)</t>
  </si>
  <si>
    <t>Gross renewable energy minus electricity purchased (kWh)</t>
  </si>
  <si>
    <t xml:space="preserve">If gross renewable energy exceeds electricity purchased, electricity purchased moves to step 2. </t>
  </si>
  <si>
    <t>If gross renewable energy is less than electricity purchased, gross renewable energy moves to step 2.</t>
  </si>
  <si>
    <t>Packaging Emissions</t>
  </si>
  <si>
    <t>Enter packaging information for products sold during inventory year.</t>
  </si>
  <si>
    <t>Wax/wax seals</t>
  </si>
  <si>
    <t>Total Cases Sold</t>
  </si>
  <si>
    <t>Average Weight of 12 Empty Bottles 
(kg)</t>
  </si>
  <si>
    <t>Total Weight
(kg)</t>
  </si>
  <si>
    <t>Total Weight
(short tonne)</t>
  </si>
  <si>
    <t>% Recycled Material 
(average)</t>
  </si>
  <si>
    <t>% Virgin Material 
(average)</t>
  </si>
  <si>
    <t>CO2e 
(metric tons)</t>
  </si>
  <si>
    <t>Other Packaging Materials</t>
  </si>
  <si>
    <t>Packaging Item</t>
  </si>
  <si>
    <t>Weight per 1 unit
(gram)</t>
  </si>
  <si>
    <t>Total Units Used</t>
  </si>
  <si>
    <t>Total Weight
(gram)</t>
  </si>
  <si>
    <t>Total Weight 
(kg)</t>
  </si>
  <si>
    <t>Total Weight (metric tons)</t>
  </si>
  <si>
    <t>Emission Factor</t>
  </si>
  <si>
    <t>Capsules (poly)</t>
  </si>
  <si>
    <t>Capsules (tin)</t>
  </si>
  <si>
    <t>Corks (natural)</t>
  </si>
  <si>
    <t>Corks (agglomerate)</t>
  </si>
  <si>
    <t>Corks (synthetic)</t>
  </si>
  <si>
    <t>Knock Down Box (6 pack)</t>
  </si>
  <si>
    <t>Knock Down Box (12 pack)</t>
  </si>
  <si>
    <t>Partitions (6 pack)</t>
  </si>
  <si>
    <t>Partitions (12 pack)</t>
  </si>
  <si>
    <t>Wax/wax seals (paraffin)</t>
  </si>
  <si>
    <t>Weight per 1 unit
(oz)</t>
  </si>
  <si>
    <t>Weight per 1 unit
(g)</t>
  </si>
  <si>
    <t>Explanation</t>
  </si>
  <si>
    <t>Corks</t>
  </si>
  <si>
    <t>11 lbs per 1,000 corks</t>
  </si>
  <si>
    <t>Capsules (Poly)</t>
  </si>
  <si>
    <t>32 ounces per 1,000 capsules</t>
  </si>
  <si>
    <t>Capsules (Tin)</t>
  </si>
  <si>
    <t>240 ounces per 1,000 capsules</t>
  </si>
  <si>
    <t>Screw caps</t>
  </si>
  <si>
    <t>10 lbs per 1,000 screwcaps</t>
  </si>
  <si>
    <t>600lbs per 1,000 boxes</t>
  </si>
  <si>
    <t>800lbs per 1,000 boxes</t>
  </si>
  <si>
    <t>250 lbs per 1,000 partitions</t>
  </si>
  <si>
    <t>450 lbs per 1,000 partitions</t>
  </si>
  <si>
    <t>Pads</t>
  </si>
  <si>
    <t xml:space="preserve">86 lbs per 1,000 </t>
  </si>
  <si>
    <t xml:space="preserve">Tissue Paper </t>
  </si>
  <si>
    <t>14.2 lbs per ream</t>
  </si>
  <si>
    <t>1lb each</t>
  </si>
  <si>
    <t xml:space="preserve">Labels </t>
  </si>
  <si>
    <t>2.188 lbs per 1,000</t>
  </si>
  <si>
    <t>58lbs each</t>
  </si>
  <si>
    <t>Wood Box</t>
  </si>
  <si>
    <t>6.2 lbs each on average 
(range of 5.8 to 7.5 lbs)</t>
  </si>
  <si>
    <t>Average of bottle weights sent by JFW</t>
  </si>
  <si>
    <t>Weight Estimates based on packaging materials at Jackson Family Wines</t>
  </si>
  <si>
    <t>Purchased Wine Products</t>
  </si>
  <si>
    <t xml:space="preserve">Other emission sources must be completed before calculations will register for these emissions (stationary, mobile, vineyard emissions, electricity and onsite waste must be completed)
Input total tons of grapes purchased and volume of bulk wine purchased.
</t>
  </si>
  <si>
    <t>Purchased Wine 
(litres)</t>
  </si>
  <si>
    <t>Crop Protection Products</t>
  </si>
  <si>
    <t>Grape Vine Trellising</t>
  </si>
  <si>
    <t>Biomass Treatment</t>
  </si>
  <si>
    <t>Purchased Municipal Water</t>
  </si>
  <si>
    <t>Winemaking Gases</t>
  </si>
  <si>
    <t>Winemaking Products</t>
  </si>
  <si>
    <t>Water Purification Products</t>
  </si>
  <si>
    <t>Barrel Transportation Emissions</t>
  </si>
  <si>
    <t>Barrel Embedded Emissions</t>
  </si>
  <si>
    <t>Purchased Wine Bottles by Third Party</t>
  </si>
  <si>
    <t>Stationary Fuel for Bottling by Third Party</t>
  </si>
  <si>
    <t>Own Land Farmed/Harvested by Third Party</t>
  </si>
  <si>
    <t>Optional: OPEX Spending</t>
  </si>
  <si>
    <t>Optional: CAPEX Spending</t>
  </si>
  <si>
    <t>Grapes Delivered
(metric tonne)</t>
  </si>
  <si>
    <t>Grapes Delivered
(short ton)</t>
  </si>
  <si>
    <t>Emission Factor 
(CO2mte/ton)</t>
  </si>
  <si>
    <t>Wine Purchased
(litre)</t>
  </si>
  <si>
    <t>Wine Purchased
(metric tonne)</t>
  </si>
  <si>
    <t>Emission Factor 
(tons CO2e/ton)</t>
  </si>
  <si>
    <t>Custom Emission Factors for Purchased Grapes and Purchased Wine (based on company's own internal emissions)</t>
  </si>
  <si>
    <t>Emissions for Internally Grown Grapes 
(CO2mte)</t>
  </si>
  <si>
    <t>Diesel Usage + Vineyard Emissions + 15% of total Electricity (based on JFW vineyard electricity vs total electricity)</t>
  </si>
  <si>
    <t>Internal Tons Harvested 
(short tons)</t>
  </si>
  <si>
    <t>Vineyard Biomass Photosynthesis Tab must be completed before this will populate.</t>
  </si>
  <si>
    <t>Internal Emission Factor per Ton of Grapes 
(Mte/short ton)</t>
  </si>
  <si>
    <t>Emissions for Internally Fermenting Wine 
(CO2mte)</t>
  </si>
  <si>
    <t>Stationary Emissions + Onsite Waste + 68% of Total Electricity (based on JFW production electricity vs total electricity)</t>
  </si>
  <si>
    <t>Wine Fermented
(gallon)</t>
  </si>
  <si>
    <t>Internal Litres Fermented
(metric tonne)</t>
  </si>
  <si>
    <t>1 litre = .001 tonne (source: http://convert-to.com/conversion/water-weight-volume/convert-metric-tonne-t-water-weight-to-liter-l-of-water-volume.html)</t>
  </si>
  <si>
    <t>Emission Factor 
(Mte/Ton)</t>
  </si>
  <si>
    <t>Crop Protection Products (Phytosanitary)</t>
  </si>
  <si>
    <t>Product name</t>
  </si>
  <si>
    <t>Weight of product (kg)</t>
  </si>
  <si>
    <t>Active ingredient</t>
  </si>
  <si>
    <t>% Active Ingredient</t>
  </si>
  <si>
    <r>
      <t>Emission Factor 
(CO</t>
    </r>
    <r>
      <rPr>
        <b/>
        <vertAlign val="subscript"/>
        <sz val="12"/>
        <color theme="1"/>
        <rFont val="Calibri"/>
        <family val="2"/>
        <scheme val="minor"/>
      </rPr>
      <t>2</t>
    </r>
    <r>
      <rPr>
        <b/>
        <sz val="12"/>
        <color theme="1"/>
        <rFont val="Calibri"/>
        <family val="2"/>
        <scheme val="minor"/>
      </rPr>
      <t>-Eq kg/kg) (from table to right)</t>
    </r>
  </si>
  <si>
    <t>Material</t>
  </si>
  <si>
    <r>
      <t>Emission Factor 
(CO</t>
    </r>
    <r>
      <rPr>
        <b/>
        <vertAlign val="subscript"/>
        <sz val="12"/>
        <color theme="1"/>
        <rFont val="Calibri"/>
        <family val="2"/>
        <scheme val="minor"/>
      </rPr>
      <t>2</t>
    </r>
    <r>
      <rPr>
        <b/>
        <sz val="12"/>
        <color theme="1"/>
        <rFont val="Calibri"/>
        <family val="2"/>
        <scheme val="minor"/>
      </rPr>
      <t>-Eq kg/kg)</t>
    </r>
  </si>
  <si>
    <t>Mancozeb</t>
  </si>
  <si>
    <t>Sulfur</t>
  </si>
  <si>
    <t>Copper</t>
  </si>
  <si>
    <t>Folpet</t>
  </si>
  <si>
    <t>Fosetyl</t>
  </si>
  <si>
    <t>Potassium</t>
  </si>
  <si>
    <t>Boron</t>
  </si>
  <si>
    <t>Others</t>
  </si>
  <si>
    <t>Glyphosate</t>
  </si>
  <si>
    <t>Grape Vine Trellising (new development only)</t>
  </si>
  <si>
    <t>Amount Purchased (kg)</t>
  </si>
  <si>
    <t>Steel</t>
  </si>
  <si>
    <t>Wood</t>
  </si>
  <si>
    <t>Staples</t>
  </si>
  <si>
    <t>Use wood and wood treatment for all wood materials</t>
  </si>
  <si>
    <t>Wire</t>
  </si>
  <si>
    <t>Wood Treatment</t>
  </si>
  <si>
    <t>Concrete</t>
  </si>
  <si>
    <t>Granite</t>
  </si>
  <si>
    <t>For the purposes of this calculator, biomass treatment means the natural air drying of raw biomass (e.g., vine shoots) for use as fuel (e.g., dried wood, dried wood pellets) in a biomass boiler. Dry biomass refers to the biomass product used in the biomass boiler.</t>
  </si>
  <si>
    <t>Only complete data in one of these columns. Use the column furthest to the left as possible.</t>
  </si>
  <si>
    <t>Biomass Type</t>
  </si>
  <si>
    <r>
      <t>Volume Dry Biomass (m</t>
    </r>
    <r>
      <rPr>
        <vertAlign val="superscript"/>
        <sz val="12"/>
        <rFont val="Calibri"/>
        <family val="2"/>
        <scheme val="minor"/>
      </rPr>
      <t>3</t>
    </r>
    <r>
      <rPr>
        <sz val="12"/>
        <rFont val="Calibri"/>
        <family val="2"/>
        <scheme val="minor"/>
      </rPr>
      <t>)</t>
    </r>
  </si>
  <si>
    <r>
      <t>Volume Raw Biomass (m</t>
    </r>
    <r>
      <rPr>
        <vertAlign val="superscript"/>
        <sz val="12"/>
        <rFont val="Calibri"/>
        <family val="2"/>
        <scheme val="minor"/>
      </rPr>
      <t>3</t>
    </r>
    <r>
      <rPr>
        <sz val="12"/>
        <rFont val="Calibri"/>
        <family val="2"/>
        <scheme val="minor"/>
      </rPr>
      <t>)</t>
    </r>
  </si>
  <si>
    <t>Weight Dry Biomass (kg)</t>
  </si>
  <si>
    <t>Weight Raw Biomass (kg)</t>
  </si>
  <si>
    <t>Water purchased (litres)</t>
  </si>
  <si>
    <t>Water purchased (kg) (Density of water 1 kg/L)</t>
  </si>
  <si>
    <t>Gas name</t>
  </si>
  <si>
    <t>Volume of gas purchased (m3)</t>
  </si>
  <si>
    <t>Gaseous relative density (kg/m3)</t>
  </si>
  <si>
    <t>Oxygen</t>
  </si>
  <si>
    <t>Aligal 3</t>
  </si>
  <si>
    <t>Acetylene (C2H2)</t>
  </si>
  <si>
    <t>Argon</t>
  </si>
  <si>
    <t>Hydrogen</t>
  </si>
  <si>
    <t>Sulfur dioxide</t>
  </si>
  <si>
    <t>Helium</t>
  </si>
  <si>
    <t>Nitrogen</t>
  </si>
  <si>
    <t>Ammonia</t>
  </si>
  <si>
    <t>Synthetic air</t>
  </si>
  <si>
    <t>Product</t>
  </si>
  <si>
    <t>Yeast</t>
  </si>
  <si>
    <t>Bentonite</t>
  </si>
  <si>
    <t xml:space="preserve">Misc. Additives </t>
  </si>
  <si>
    <t xml:space="preserve">Source Data from: </t>
  </si>
  <si>
    <t>Name of Misc. Additive</t>
  </si>
  <si>
    <t>Name</t>
  </si>
  <si>
    <t>Density (kg/L)</t>
  </si>
  <si>
    <t>Amount purchased (kg)</t>
  </si>
  <si>
    <t>Formic Acid</t>
  </si>
  <si>
    <t>Defoamer (Silicone)</t>
  </si>
  <si>
    <t>Ammonium Chloride</t>
  </si>
  <si>
    <t>Diammonium Phosphate</t>
  </si>
  <si>
    <t>Trisodium Phosphate</t>
  </si>
  <si>
    <t>Aluminum Polychloride</t>
  </si>
  <si>
    <t>Polyelectrolyte</t>
  </si>
  <si>
    <t>Caustic Potash (Potassium Hydroxide)</t>
  </si>
  <si>
    <t>Caustic Soda (Sodium Hydroxide)</t>
  </si>
  <si>
    <t xml:space="preserve">Hydrochloric Acid </t>
  </si>
  <si>
    <t>Peroxide</t>
  </si>
  <si>
    <t>Sodium Hypochlorite</t>
  </si>
  <si>
    <t>Chlorine Dioxide</t>
  </si>
  <si>
    <t>Sodium Chloride (Salt)</t>
  </si>
  <si>
    <t>Urea</t>
  </si>
  <si>
    <t>Purchased Wine Barrels</t>
  </si>
  <si>
    <t>100% Truck Shipment</t>
  </si>
  <si>
    <t>Shipping Location</t>
  </si>
  <si>
    <t>Total Barrels Purchased</t>
  </si>
  <si>
    <t>Average Distance Traveled 
(km)</t>
  </si>
  <si>
    <t>Avg Barrel  Weight 
(kg)</t>
  </si>
  <si>
    <t>Total Weight 
(metric ton)</t>
  </si>
  <si>
    <t>Total
(tonne.km)</t>
  </si>
  <si>
    <t>Total CO2-e 
(mte)</t>
  </si>
  <si>
    <t>100% Rail Shipment</t>
  </si>
  <si>
    <t>50% Truck and 50% Rail Shipment</t>
  </si>
  <si>
    <t>75% Truck and 25% Rail Shipment</t>
  </si>
  <si>
    <t>75% Waterborn Craft and 25% Truck Shipment</t>
  </si>
  <si>
    <t>75% Waterborn Craft and 25% Rail Shipment</t>
  </si>
  <si>
    <t>Assumptions: Large container ship for waterborn craft and long haul heavy truck for Truck shipment</t>
  </si>
  <si>
    <t>Barrel Embedded Carbon Emissions (based on lumber emission factors)</t>
  </si>
  <si>
    <t>Total Weight 
(lbs)</t>
  </si>
  <si>
    <t>Estimated Pounds per Square Foot of Wood
(square feet)</t>
  </si>
  <si>
    <t>Estimated Board Feet of Oak Barrels
(board foot)</t>
  </si>
  <si>
    <t>Estimated Emissions from Hardwood Lumber Emission Factor
(lbs CO2/board foot)</t>
  </si>
  <si>
    <t>Total Estimated CO2 Emissions 
(lbs)</t>
  </si>
  <si>
    <t>Purchased Barrels</t>
  </si>
  <si>
    <t xml:space="preserve">Pounds per Square Foot for Oak </t>
  </si>
  <si>
    <t>Source</t>
  </si>
  <si>
    <t>http://www.hooddistribution.com/product-weights/</t>
  </si>
  <si>
    <r>
      <t xml:space="preserve">For any known product transport of materials to your site, please use the calculation below to estimate upstream transportation emissions from purchased products. </t>
    </r>
    <r>
      <rPr>
        <i/>
        <sz val="14"/>
        <color rgb="FFFF0000"/>
        <rFont val="Calibri"/>
        <family val="2"/>
        <scheme val="minor"/>
      </rPr>
      <t>This includes (but is not limited to): grape transport (grower fruit only), purchased bottling material, purchased wine &amp; distillate transport, and biomass transport, for example.</t>
    </r>
  </si>
  <si>
    <t>Total Weight of Products
(kg)</t>
  </si>
  <si>
    <t>Wineries should complete the below table for bottles purchased by a third party for outsourced bottling  -- or other purchased bottles that are not already accounted for elsewhere (e.g., Packaging Materials)</t>
  </si>
  <si>
    <t>Total Weight 
(tons)</t>
  </si>
  <si>
    <t>These emissions account for the third party’s stationary fuel emissions from bottling, including the third party’s upstream fuel emissions.</t>
  </si>
  <si>
    <t>Own Land Farmed and/or Harvested by Third Party (mobile fuel use)</t>
  </si>
  <si>
    <t xml:space="preserve">Emissions from own land farmed and/or harvested by a third party account for the third party’s mobile fuel emissions (fuel used in both farming/harvesting and transport to/from the harvesting location), including the third party’s upstream fuel emissions. </t>
  </si>
  <si>
    <t>Optional: OPEX &amp; CAPEX Spending</t>
  </si>
  <si>
    <t xml:space="preserve">While not required for IWCA GHG Inventory calculations, the World Resource Institute guidance for calculating all Scope 3 emissions recommends estimating emissions associated with all spending activity.  </t>
  </si>
  <si>
    <t>This helps measure the emissions associated with business activities not measured in other places that drive economic activity.</t>
  </si>
  <si>
    <t>If you would like to measure these IWCA optional Scope 3 emissions, please follow the following steps.</t>
  </si>
  <si>
    <t>1. Collect OPEX spending for the year you are calculating emissions.</t>
  </si>
  <si>
    <t>2. Review the OPEX records and exclude any data that is already counted in this inventory.  Some examples of emissions that are already counted are bottles, barrels and fuel use.</t>
  </si>
  <si>
    <t>3. For any OPEX spending that has not already been tracked in the GHG calculator go to the website below and use the tool to estimate emissions for OPEX spending.</t>
  </si>
  <si>
    <t>https://quantis-suite.com/Scope-3-Evaluator/</t>
  </si>
  <si>
    <t>4. On the Purchases tab enter dollars spent and the category that best describes the purchase secto.</t>
  </si>
  <si>
    <t>Guidance on Purchased Goods and Services</t>
  </si>
  <si>
    <t>Guidance on Capital Goods</t>
  </si>
  <si>
    <t>OPEX Spending Description</t>
  </si>
  <si>
    <t>Total Purchases (USD $)</t>
  </si>
  <si>
    <t>Calculated Emissions from Scope 3 Evaluator</t>
  </si>
  <si>
    <t>CAPEX Spending Description</t>
  </si>
  <si>
    <r>
      <t>Enter destination of product being shipped.
Enter total weight of product shipped to each destination (</t>
    </r>
    <r>
      <rPr>
        <b/>
        <sz val="12"/>
        <color theme="1"/>
        <rFont val="Calibri"/>
        <family val="2"/>
        <scheme val="minor"/>
      </rPr>
      <t>include weight of packing materials, e.g. pallets, pallet wrap, etc.</t>
    </r>
    <r>
      <rPr>
        <sz val="12"/>
        <color theme="1"/>
        <rFont val="Calibri"/>
        <family val="2"/>
        <scheme val="minor"/>
      </rPr>
      <t>)
Enter distance traveled from shipping location to destination.</t>
    </r>
  </si>
  <si>
    <r>
      <rPr>
        <b/>
        <i/>
        <u/>
        <sz val="14"/>
        <color rgb="FFFF0000"/>
        <rFont val="Calibri"/>
        <family val="2"/>
        <scheme val="minor"/>
      </rPr>
      <t>Note</t>
    </r>
    <r>
      <rPr>
        <b/>
        <i/>
        <sz val="14"/>
        <color rgb="FFFF0000"/>
        <rFont val="Calibri"/>
        <family val="2"/>
        <scheme val="minor"/>
      </rPr>
      <t>: Enter total weight of product shipped to each destination (including the weight of packing materials, e.g. pallets, pallet wrap, etc.)</t>
    </r>
  </si>
  <si>
    <t>Tip: You may wish to refer to tools for measuring freight distances (e.g. sea-distances.org, gcmap.com)</t>
  </si>
  <si>
    <t>Outsourced Harvest Transport (internal fruit only)</t>
  </si>
  <si>
    <t>Wine Sample Shipments (Domestic)</t>
  </si>
  <si>
    <t>Wine Club Shipments (Domestic)</t>
  </si>
  <si>
    <t>Custom Emission Factor Distributor</t>
  </si>
  <si>
    <t>Domestic Product Transport (excluding wine club shipments)</t>
  </si>
  <si>
    <t>Rail</t>
  </si>
  <si>
    <t>Destination</t>
  </si>
  <si>
    <t>Product Weight 
(kg)</t>
  </si>
  <si>
    <t>Distance 
(km)</t>
  </si>
  <si>
    <t>Total Tonne Kilometers
(tkm)</t>
  </si>
  <si>
    <t>See tool for measuring freight distances: http://www.gcmap.com/</t>
  </si>
  <si>
    <t>Aircraft - AUS Shipments</t>
  </si>
  <si>
    <t>Sum of Product Weight 
(kg)</t>
  </si>
  <si>
    <t>*Without radiative forcing multiplier</t>
  </si>
  <si>
    <t>Long Haul Truck</t>
  </si>
  <si>
    <t>Assumes all long haul heavy freight trucks. Emission factors for Urban &amp; Truck general available</t>
  </si>
  <si>
    <t>Waterborne Freight</t>
  </si>
  <si>
    <t>See tool for measuring freight distance:  https://sea-distances.org/</t>
  </si>
  <si>
    <t>International Shipments</t>
  </si>
  <si>
    <t>Long Haul Aircraft</t>
  </si>
  <si>
    <r>
      <t xml:space="preserve">Outsourced Harvest Transport - Heavy Duty Truck </t>
    </r>
    <r>
      <rPr>
        <b/>
        <i/>
        <sz val="24"/>
        <color theme="0"/>
        <rFont val="Calibri"/>
        <family val="2"/>
        <scheme val="minor"/>
      </rPr>
      <t>(Internal Fruit Only)</t>
    </r>
  </si>
  <si>
    <t>Supplier</t>
  </si>
  <si>
    <t>Wine Sample Shipments</t>
  </si>
  <si>
    <t>Wine Club Shipments</t>
  </si>
  <si>
    <t>Distance
(km)</t>
  </si>
  <si>
    <t>CO2 Emissions Factor 
(kg CO2/Mile)</t>
  </si>
  <si>
    <t>CH4 Emissions Factor 
(g CO2/Mile)</t>
  </si>
  <si>
    <t>N2O Emissions Factor 
(g CO2/Mile)</t>
  </si>
  <si>
    <t>N2O Emissions 
(metric tons)</t>
  </si>
  <si>
    <t>Total CO2 Equivalents (metric tons)</t>
  </si>
  <si>
    <t>Solid Waste Emissions</t>
  </si>
  <si>
    <t>Total CO2
(metric tonne)</t>
  </si>
  <si>
    <t>Recycling CO2-e
(metric tonne)</t>
  </si>
  <si>
    <t>Mixed Organic Compost CO2-e 
(metric tonne)</t>
  </si>
  <si>
    <t>All Landfill Waste CO2-e 
(metric tonne)</t>
  </si>
  <si>
    <t>Recycling</t>
  </si>
  <si>
    <t>Composting/Mixed Organics</t>
  </si>
  <si>
    <t>Municipal Solid Waste</t>
  </si>
  <si>
    <t>Commercial &amp; Industrial Waste</t>
  </si>
  <si>
    <t>Construction Waste</t>
  </si>
  <si>
    <t>Total Mixed Recycling 
(kg)</t>
  </si>
  <si>
    <t>Total Mixed Recycling 
(metric tonne)</t>
  </si>
  <si>
    <t>Recycling 
Total CO2-e
(metric tonne)</t>
  </si>
  <si>
    <t>Total Compost
(kg)</t>
  </si>
  <si>
    <t>Mixed Organic Compost 
Total CO2-e 
(metric tonne)</t>
  </si>
  <si>
    <t>Total Solid Waste
(kg)</t>
  </si>
  <si>
    <t>Total Solid Waste
(metric tonne)</t>
  </si>
  <si>
    <t>Municipal Waste 
Total CO2 Equivalents 
(metric tonne)</t>
  </si>
  <si>
    <t>Commercial  Waste
Total CO2 Equivalents 
(metric tonne)</t>
  </si>
  <si>
    <t>Construction Waste
Total CO2 Equivalents 
(metric tonne)</t>
  </si>
  <si>
    <t>Enter cases sold domestically and internationally.
Enter average weight of 12 empyty wine bottles.</t>
  </si>
  <si>
    <t>Domestic</t>
  </si>
  <si>
    <t>International</t>
  </si>
  <si>
    <t>Region</t>
  </si>
  <si>
    <t>Cases Sold</t>
  </si>
  <si>
    <t>Total Weight of Glass
(kg)</t>
  </si>
  <si>
    <t>Total Weight Recycled 
(kg)</t>
  </si>
  <si>
    <t>Total Weight to Landfill
(kg)</t>
  </si>
  <si>
    <t>Recycling 
(metric ton)</t>
  </si>
  <si>
    <t>Glass Recycling Emission Factor 
(metric tons CO2e/short ton material)</t>
  </si>
  <si>
    <t>Recycling CO2 
(metric tons)</t>
  </si>
  <si>
    <t>Glass to Landfill Emission Factor (metric tons CO2e/short ton material)</t>
  </si>
  <si>
    <t>Solid Waste Emissions 
(CO2e metric tons)</t>
  </si>
  <si>
    <t>56% of wine bottles recycled in AUS (source: https://www.awe.gov.au/sites/default/files/documents/waste-stocktake-report.pdf)</t>
  </si>
  <si>
    <t>76% of glass recycled in EU: https://feve.org/glass_recycling_stats_2018/</t>
  </si>
  <si>
    <t xml:space="preserve">Business Travel includes airfare, rideshare/taxi, train and vehicles that are not company-owned and driven by employees (reimbursement for gas expenses and kilometers). </t>
  </si>
  <si>
    <t>By Personal Vehicle Mileage Reimbursement</t>
  </si>
  <si>
    <t>Kilometer Reimbursement</t>
  </si>
  <si>
    <t>By Vehicle Petrol Purchases (non company-owned vehicles)</t>
  </si>
  <si>
    <t>Petrol Expenses</t>
  </si>
  <si>
    <t>Vehicle Miles</t>
  </si>
  <si>
    <t>Vehicle Type</t>
  </si>
  <si>
    <t>Distance Traveled
(km)</t>
  </si>
  <si>
    <t>Emission Factor 
(kg CO2-e)</t>
  </si>
  <si>
    <t>Petrol hybrid</t>
  </si>
  <si>
    <t>Diesel hybrid</t>
  </si>
  <si>
    <t>Petrol plug-in hybrid (Petrol consumption)</t>
  </si>
  <si>
    <t>Petrol plug-in hybrid (Electricity consumption)</t>
  </si>
  <si>
    <t>Diesel plug-in hybrid (Diesel consumption)</t>
  </si>
  <si>
    <t>Diesel plug-in hybrid (Electricity consumption)</t>
  </si>
  <si>
    <t>Electric</t>
  </si>
  <si>
    <t>Dollars Spent on Airfare</t>
  </si>
  <si>
    <t>Flight Type</t>
  </si>
  <si>
    <t>Total Number of Flights (include all individual flights to and from)</t>
  </si>
  <si>
    <t>Total Distance Flown
(km)</t>
  </si>
  <si>
    <t xml:space="preserve">Airfare = $50 + (Distance (miles) x $0.11) - Source: https://www.rome2rio.com/blog/2013/01/02/170779446/; </t>
  </si>
  <si>
    <t>Total Kilometers Flown</t>
  </si>
  <si>
    <t>Taxi/Rideshare</t>
  </si>
  <si>
    <t>Total Dollars Spent on Taxi/Rideshare</t>
  </si>
  <si>
    <t>Total Distance in Taxi/Rideshare</t>
  </si>
  <si>
    <t>Total Distance
(kM)</t>
  </si>
  <si>
    <t>Rail Type</t>
  </si>
  <si>
    <t xml:space="preserve">Metropolitan Average </t>
  </si>
  <si>
    <t xml:space="preserve">Metropolitan Electric </t>
  </si>
  <si>
    <t>Metropolitan Diesel</t>
  </si>
  <si>
    <t>*If unknown, use Average</t>
  </si>
  <si>
    <t>National Average for Bus</t>
  </si>
  <si>
    <t xml:space="preserve">Electric Bus </t>
  </si>
  <si>
    <t xml:space="preserve">Diesel Bus </t>
  </si>
  <si>
    <t>Input total number of employees, average days worked per year and average distance traveled one way for each relevant mode of transportation.</t>
  </si>
  <si>
    <t>Employee Commuting - Passenger Vehicles</t>
  </si>
  <si>
    <t># of Employees Individually Driving Passenger Vehicles
(employee)</t>
  </si>
  <si>
    <t>Average # of Days Worked per Employee
(day)</t>
  </si>
  <si>
    <t>Average Km Traveled One Way per Employee
(km)</t>
  </si>
  <si>
    <t>Total Km Driven Per Year
(km)</t>
  </si>
  <si>
    <t>*Assumes vehicles are post 2010</t>
  </si>
  <si>
    <t>Employee Commuting - Bus</t>
  </si>
  <si>
    <t># of Employees Individually Riding the Bus
(employee)</t>
  </si>
  <si>
    <t>Total Km Traveled 
Per Year
(km)</t>
  </si>
  <si>
    <t>Tasting Room Traffic Emissions</t>
  </si>
  <si>
    <t>Input total number of people that visited tasting rooms during the reporting period.
Enter estimated average distance per trip (total km return)
Estimate Number of passengers per vehicle; default 2</t>
  </si>
  <si>
    <t>Total Tasting Room Traffic Emissions</t>
  </si>
  <si>
    <t xml:space="preserve">Total Traffic
(Visitors) </t>
  </si>
  <si>
    <t>Average Passengers 
per vehicle</t>
  </si>
  <si>
    <t>Total Vehicle Trips</t>
  </si>
  <si>
    <t>Average Distance 
per trip 
(km)</t>
  </si>
  <si>
    <t>Total Distance Traveled
(km)</t>
  </si>
  <si>
    <t>* Assumes Default Private Car Emissions Factor</t>
  </si>
  <si>
    <t>Fertilizer Production Emissions</t>
  </si>
  <si>
    <t>Input total kgs of fertilizer or total N of fertilizer.</t>
  </si>
  <si>
    <t>Crop Protection Type</t>
  </si>
  <si>
    <t>Sum of Product 
(kg)</t>
  </si>
  <si>
    <t>Sum of N 
(kg)</t>
  </si>
  <si>
    <t>Emission Factor 
(kg CO2/kg N)</t>
  </si>
  <si>
    <t>Emission Factor 
(kg CO2/kg Product)</t>
  </si>
  <si>
    <t>Unknown (mean N fertilizer)</t>
  </si>
  <si>
    <t>N/A</t>
  </si>
  <si>
    <t>P2O5 Fertilizer</t>
  </si>
  <si>
    <t>Calcium Ammonium Nitrate</t>
  </si>
  <si>
    <t xml:space="preserve">Ammonium Nitrate </t>
  </si>
  <si>
    <t>K20 Fertilizer</t>
  </si>
  <si>
    <t>Nitrogen Solutions (liquid UAN)</t>
  </si>
  <si>
    <t>Anhydrous Ammonia</t>
  </si>
  <si>
    <t>Ammonium Sulphate</t>
  </si>
  <si>
    <t>N-Fertilizer</t>
  </si>
  <si>
    <t>Lime</t>
  </si>
  <si>
    <t>Wine Storage Energy Use Emissions</t>
  </si>
  <si>
    <t>Input total number of white wine bottles (and, where relevant, red wine bottles) sold to supermarkets, to retail warehouses and bottles eventually ending up in a consumer's home.</t>
  </si>
  <si>
    <t>Supermarket Emissions</t>
  </si>
  <si>
    <t>Retailer Warehouse Emissions</t>
  </si>
  <si>
    <t>Home Emissions</t>
  </si>
  <si>
    <t>Supermarket/Restaurant</t>
  </si>
  <si>
    <t>White Wine Bottles Sold in Supermarkets and Restaurants Using Refrigeration</t>
  </si>
  <si>
    <t>Energy Used
(kwh)</t>
  </si>
  <si>
    <t>Emission Factor
(kg CO2-e/kwh)</t>
  </si>
  <si>
    <t xml:space="preserve">Input total number of white wine bottles sold in supermarket/restaurant that you assume used refrigeration. </t>
  </si>
  <si>
    <t>Retail Warehouse</t>
  </si>
  <si>
    <t>Red and White Wine Bottles Sold from Retail Warehouse</t>
  </si>
  <si>
    <t>Consumer Home</t>
  </si>
  <si>
    <t>Off Premise White Wine Bottles Sold Using Refrigeration</t>
  </si>
  <si>
    <t xml:space="preserve">Input total number of white wine bottles sold that you assume used refrigeration upon eventually ending up in a consumer's home. </t>
  </si>
  <si>
    <t xml:space="preserve">*emission factor average of all territories. Territory specific factors available in EF tab. </t>
  </si>
  <si>
    <t>Winemaking Emissions</t>
  </si>
  <si>
    <t>Input total litres fermented and average Brix and Residual Sugar for each winery.</t>
  </si>
  <si>
    <t>Total Winemaking Fermentation Emissions</t>
  </si>
  <si>
    <t>Winery Location</t>
  </si>
  <si>
    <t>Wine Fermented
(litre)</t>
  </si>
  <si>
    <t>Average Harvest  Brix 
(g/100ml)</t>
  </si>
  <si>
    <t>Average Residual Sugar
(g/100ml)</t>
  </si>
  <si>
    <t>Juice 
(kg)</t>
  </si>
  <si>
    <t>Juice 
(tons)</t>
  </si>
  <si>
    <t>Fermentable Reducing Sugar 
(%)</t>
  </si>
  <si>
    <t>Fermentable Sugar 
(metric tonnes)</t>
  </si>
  <si>
    <t>Vineyard Row Cropping Emissions</t>
  </si>
  <si>
    <t>Input planted hectares and percentage of that area which have cover crops.</t>
  </si>
  <si>
    <t>Total Sequestered CO2e from Covered Crops
(metric tonne)</t>
  </si>
  <si>
    <t>Planted Area
(hectare)</t>
  </si>
  <si>
    <t>% of Area with Cover Crops</t>
  </si>
  <si>
    <t>Cover Crop Area
(hectare)</t>
  </si>
  <si>
    <t>Row Cropping Carbon Addition
(metric tonne)</t>
  </si>
  <si>
    <t>Vineyard Biomass Photosynthesis</t>
  </si>
  <si>
    <t>Input planted hectares and total tonnes harvested for each vineyard or ranch.</t>
  </si>
  <si>
    <t>Total Biomass CO2e 
(metric tonne)</t>
  </si>
  <si>
    <t>Total Sequestered CO2e 
(metric tonne)</t>
  </si>
  <si>
    <t>Total Balance CO2e 
(metric tonne)</t>
  </si>
  <si>
    <t>Vineyard/Ranch Name</t>
  </si>
  <si>
    <t>Planted Area
(hectacre)</t>
  </si>
  <si>
    <t>Harvest
(metric tonne)</t>
  </si>
  <si>
    <t>Fermentable Sugar 
(metric tonne)</t>
  </si>
  <si>
    <t>Total CO2 Sequestered in Sugar Production
(metric tonne)</t>
  </si>
  <si>
    <t>Total CO2 Consumed in Carbohydrate Reserves
(metric tonne)</t>
  </si>
  <si>
    <t>Total CO2 Consumed in Current Shoots and Leaves
(metric tonne)</t>
  </si>
  <si>
    <t>Pruning Decomposition CO2 Emitted
(metric tonne)</t>
  </si>
  <si>
    <t>Total CO2 Sequestered in Permanent Structures
(metric tonne)</t>
  </si>
  <si>
    <t>Total CO2 Sequestered in Biomass Clusters
(metric tonne)</t>
  </si>
  <si>
    <t>Total CO2 Sequestered in Roots
(metric tonne)</t>
  </si>
  <si>
    <t>Prunings: Total CO2 Sequestered into Ground
(metric tonne)</t>
  </si>
  <si>
    <t>Compost Application Sequestration</t>
  </si>
  <si>
    <t xml:space="preserve">Input volume of compost applied, the number of tillage passes annually and the number of years compost has been applied to your fields.
Use table to find tillage impact on soil as a percentage of loss in C
</t>
  </si>
  <si>
    <t>Total Sequestration from Compost</t>
  </si>
  <si>
    <t># of Years applied</t>
  </si>
  <si>
    <t># of Tillage Passes Annually</t>
  </si>
  <si>
    <t>Tonnes / year applied
(metric tonne)</t>
  </si>
  <si>
    <t>Conversion from t to sht
(ton)</t>
  </si>
  <si>
    <t>25% carbon content / ton of compost</t>
  </si>
  <si>
    <t>Conversion for C to CO2e 
(ton)</t>
  </si>
  <si>
    <t>Conversion from sht to t
(metric tonne)</t>
  </si>
  <si>
    <t>Tillage impact on Soil 
(% loss in C)</t>
  </si>
  <si>
    <t>Vineyard Compost Application &amp; Sequestration Calculator (Example)</t>
  </si>
  <si>
    <t>All Vineyard Acreage</t>
  </si>
  <si>
    <t>Acres</t>
  </si>
  <si>
    <t>US Tons / acre</t>
  </si>
  <si>
    <t>Cover Crop Coverage</t>
  </si>
  <si>
    <t>Tons / year applied</t>
  </si>
  <si>
    <t>Conversion for C to CO2e (tons)</t>
  </si>
  <si>
    <t>Conversion for US Tons to Metric Tons</t>
  </si>
  <si>
    <t>Cover Crop Impact on Soil C</t>
  </si>
  <si>
    <t>Tillage impact on Soil C</t>
  </si>
  <si>
    <t>Total Metric Tons Applied C02 equiv</t>
  </si>
  <si>
    <t>Key</t>
  </si>
  <si>
    <t>at 1 ton/acre</t>
  </si>
  <si>
    <t>Input Field</t>
  </si>
  <si>
    <t>at 2 tons/acre</t>
  </si>
  <si>
    <t>Formula Field</t>
  </si>
  <si>
    <t>at 3.5 tons/acre</t>
  </si>
  <si>
    <t>at 5 tons/acre</t>
  </si>
  <si>
    <t>Tillage Impact on Soil C</t>
  </si>
  <si>
    <t>at 10 tons/acre</t>
  </si>
  <si>
    <t>No Till</t>
  </si>
  <si>
    <t>No impact</t>
  </si>
  <si>
    <t>Total Metric Tons CO2 Sequestered Over 10 years</t>
  </si>
  <si>
    <t>Alternate Row</t>
  </si>
  <si>
    <t>25% loss of compost C each year for alternate row</t>
  </si>
  <si>
    <t>Every Row</t>
  </si>
  <si>
    <t>50% loss of compost C each year you till</t>
  </si>
  <si>
    <t>Global Warming Potential Values</t>
  </si>
  <si>
    <t>https://www.ghgprotocol.org/sites/default/files/ghgp/Global-Warming-Potential-Values%20%28Feb%2016%202016%29_1.pdf</t>
  </si>
  <si>
    <t>AUS 2020 Emissions guide uses the 5th Assesment; reflected throghout the calculator using the 5th assesment</t>
  </si>
  <si>
    <t>Fuel combusted</t>
  </si>
  <si>
    <t>Energy content factor</t>
  </si>
  <si>
    <t>Emission factor</t>
  </si>
  <si>
    <r>
      <t>kg CO</t>
    </r>
    <r>
      <rPr>
        <b/>
        <vertAlign val="subscript"/>
        <sz val="8"/>
        <color theme="1"/>
        <rFont val="Arial"/>
        <family val="2"/>
      </rPr>
      <t>2</t>
    </r>
    <r>
      <rPr>
        <b/>
        <sz val="8"/>
        <color theme="1"/>
        <rFont val="Arial"/>
        <family val="2"/>
      </rPr>
      <t>‑e/GJ</t>
    </r>
  </si>
  <si>
    <t>(relevant oxidation factors incorporated)</t>
  </si>
  <si>
    <r>
      <t>CO</t>
    </r>
    <r>
      <rPr>
        <b/>
        <vertAlign val="subscript"/>
        <sz val="8"/>
        <color theme="1"/>
        <rFont val="Arial"/>
        <family val="2"/>
      </rPr>
      <t>2</t>
    </r>
  </si>
  <si>
    <r>
      <t>CH</t>
    </r>
    <r>
      <rPr>
        <b/>
        <vertAlign val="subscript"/>
        <sz val="8"/>
        <color theme="1"/>
        <rFont val="Arial"/>
        <family val="2"/>
      </rPr>
      <t>4</t>
    </r>
  </si>
  <si>
    <r>
      <t>N</t>
    </r>
    <r>
      <rPr>
        <b/>
        <vertAlign val="subscript"/>
        <sz val="8"/>
        <color theme="1"/>
        <rFont val="Arial"/>
        <family val="2"/>
      </rPr>
      <t>2</t>
    </r>
    <r>
      <rPr>
        <b/>
        <sz val="8"/>
        <color theme="1"/>
        <rFont val="Arial"/>
        <family val="2"/>
      </rPr>
      <t>O</t>
    </r>
  </si>
  <si>
    <t>Natural gas distributed in a pipeline</t>
  </si>
  <si>
    <t>Coal seam methane that is captured for combustion</t>
  </si>
  <si>
    <t>Coal mine waste gas that is captured for combustion</t>
  </si>
  <si>
    <t>Compressed natural gas (reverting to standard conditions)</t>
  </si>
  <si>
    <t>Unprocessed natural gas</t>
  </si>
  <si>
    <t>Coke oven gas</t>
  </si>
  <si>
    <t>Blast furnace gas</t>
  </si>
  <si>
    <t>Liquefied natural gas</t>
  </si>
  <si>
    <t>25.3 GJ/kL</t>
  </si>
  <si>
    <t>Gaseous fossil fuels other than those mentioned in the items above</t>
  </si>
  <si>
    <t>Landfill biogas that is captured for combustion (methane only)</t>
  </si>
  <si>
    <t>Sludge biogas that is captured for combustion (methane only)</t>
  </si>
  <si>
    <t>https://www.industry.gov.au/data-and-publications/national-greenhouse-accounts-factors-2021</t>
  </si>
  <si>
    <t>State or territory</t>
  </si>
  <si>
    <t>Metro</t>
  </si>
  <si>
    <t>New South Wales and ACT</t>
  </si>
  <si>
    <t>Western Australia</t>
  </si>
  <si>
    <t>Table 3: Fuel combustion emission factors – liquid fuels including certain petroleum based products for stationary energy purposes</t>
  </si>
  <si>
    <t>(GJ/kL unless otherwise indicated)</t>
  </si>
  <si>
    <t>Petroleum based oils (other than petroleum based oil used as fuel), eg lubricants</t>
  </si>
  <si>
    <t>Petroleum based greases</t>
  </si>
  <si>
    <t>Crude oil including crude oil condensates</t>
  </si>
  <si>
    <t>45.3 GJ/t</t>
  </si>
  <si>
    <t xml:space="preserve">Other natural gas liquids </t>
  </si>
  <si>
    <t>46.5 GJ/t</t>
  </si>
  <si>
    <t>Gasoline (other than for use as fuel in an aircraft)</t>
  </si>
  <si>
    <t>Gasoline for use as fuel in an aircraft (avgas)</t>
  </si>
  <si>
    <t>Kerosene (other than for use as fuel in an aircraft)</t>
  </si>
  <si>
    <t>Kerosene for use as fuel in an aircraft (aviation turbine fuel)</t>
  </si>
  <si>
    <t>Heating oil</t>
  </si>
  <si>
    <t>Diesel oil</t>
  </si>
  <si>
    <t>Fuel oil</t>
  </si>
  <si>
    <t>Liquefied aromatic hydrocarbons</t>
  </si>
  <si>
    <t>Solvents: mineral turpentine or white spirits</t>
  </si>
  <si>
    <t>Liquefied petroleum gas</t>
  </si>
  <si>
    <t>Naphtha</t>
  </si>
  <si>
    <t>Petroleum coke</t>
  </si>
  <si>
    <t>34.2 GJ/t</t>
  </si>
  <si>
    <t>Refinery gas and liquids</t>
  </si>
  <si>
    <t>42.9 GJ/t</t>
  </si>
  <si>
    <t>Refinery coke</t>
  </si>
  <si>
    <t>Petroleum based products other than mentioned in the items above</t>
  </si>
  <si>
    <t xml:space="preserve">Biodiesel </t>
  </si>
  <si>
    <t>Ethanol for use as a fuel in an internal combustion engine</t>
  </si>
  <si>
    <t>Biofuels other than those mentioned in the items above</t>
  </si>
  <si>
    <t>NE</t>
  </si>
  <si>
    <t>See Stationary</t>
  </si>
  <si>
    <t>https://www.globalpetrolprices.com/Australia/</t>
  </si>
  <si>
    <t xml:space="preserve">Annual direct emissions from N addition = Amount of Fertilizer (kg N/year) </t>
  </si>
  <si>
    <t>Emission Factor for Soil Emissions</t>
  </si>
  <si>
    <t>N2O = (# [kg N/yr] * 0.01 [Kg N2O-N/yr] + # [ha/yr] * 3 [kg N2O-N/yr]) * (44/28)
CO2e = N2O * 298</t>
  </si>
  <si>
    <t>Emission Factors from: http://www.wineinstitute.org/files/International%20Wine%20Carbon%20Calculator%20Protocol%20V1.2.pdf</t>
  </si>
  <si>
    <t>Wastewater</t>
  </si>
  <si>
    <t>Emission Factors from: http://www.ipw.co.za/content/pdfs/ghg/eng/International_Wine_Carbon_Calculator_Protocol_V1.2.pdf</t>
  </si>
  <si>
    <t>Refrigerants and CO2 in Winemaking</t>
  </si>
  <si>
    <r>
      <rPr>
        <sz val="11"/>
        <color theme="5"/>
        <rFont val="Calibri"/>
        <family val="2"/>
        <scheme val="minor"/>
      </rPr>
      <t>Refrigerants</t>
    </r>
    <r>
      <rPr>
        <u/>
        <sz val="11"/>
        <color theme="5"/>
        <rFont val="Calibri"/>
        <family val="2"/>
        <scheme val="minor"/>
      </rPr>
      <t xml:space="preserve"> https://www.ipcc.ch/publications_and_data/ar4/wg1/en/ch2s2-10-2.html </t>
    </r>
  </si>
  <si>
    <t xml:space="preserve">* specified medical gases https://www.ipcc.ch/site/assets/uploads/2018/02/WG1AR5_Chapter08_FINAL.pdf </t>
  </si>
  <si>
    <t>Table 32: Global Warming Potentials</t>
  </si>
  <si>
    <t>Gas</t>
  </si>
  <si>
    <r>
      <t>CO</t>
    </r>
    <r>
      <rPr>
        <vertAlign val="subscript"/>
        <sz val="9"/>
        <color theme="1"/>
        <rFont val="Arial"/>
        <family val="2"/>
      </rPr>
      <t>2</t>
    </r>
  </si>
  <si>
    <r>
      <t>CH</t>
    </r>
    <r>
      <rPr>
        <vertAlign val="subscript"/>
        <sz val="9"/>
        <color theme="1"/>
        <rFont val="Arial"/>
        <family val="2"/>
      </rPr>
      <t>4</t>
    </r>
  </si>
  <si>
    <t>Nitrous oxide</t>
  </si>
  <si>
    <r>
      <t>N</t>
    </r>
    <r>
      <rPr>
        <vertAlign val="subscript"/>
        <sz val="9"/>
        <color theme="1"/>
        <rFont val="Arial"/>
        <family val="2"/>
      </rPr>
      <t>2</t>
    </r>
    <r>
      <rPr>
        <sz val="9"/>
        <color theme="1"/>
        <rFont val="Arial"/>
        <family val="2"/>
      </rPr>
      <t>O</t>
    </r>
  </si>
  <si>
    <r>
      <t>SF</t>
    </r>
    <r>
      <rPr>
        <vertAlign val="subscript"/>
        <sz val="9"/>
        <color theme="1"/>
        <rFont val="Arial"/>
        <family val="2"/>
      </rPr>
      <t>6</t>
    </r>
  </si>
  <si>
    <t>Hydrofluorocarbons HFCs</t>
  </si>
  <si>
    <r>
      <t>CHF</t>
    </r>
    <r>
      <rPr>
        <vertAlign val="subscript"/>
        <sz val="9"/>
        <color theme="1"/>
        <rFont val="Arial"/>
        <family val="2"/>
      </rPr>
      <t>3</t>
    </r>
  </si>
  <si>
    <r>
      <t>CH</t>
    </r>
    <r>
      <rPr>
        <vertAlign val="subscript"/>
        <sz val="9"/>
        <color theme="1"/>
        <rFont val="Arial"/>
        <family val="2"/>
      </rPr>
      <t>2</t>
    </r>
    <r>
      <rPr>
        <sz val="9"/>
        <color theme="1"/>
        <rFont val="Arial"/>
        <family val="2"/>
      </rPr>
      <t>F</t>
    </r>
    <r>
      <rPr>
        <vertAlign val="subscript"/>
        <sz val="9"/>
        <color theme="1"/>
        <rFont val="Arial"/>
        <family val="2"/>
      </rPr>
      <t>2</t>
    </r>
  </si>
  <si>
    <r>
      <t>CH</t>
    </r>
    <r>
      <rPr>
        <vertAlign val="subscript"/>
        <sz val="9"/>
        <color theme="1"/>
        <rFont val="Arial"/>
        <family val="2"/>
      </rPr>
      <t>3</t>
    </r>
    <r>
      <rPr>
        <sz val="9"/>
        <color theme="1"/>
        <rFont val="Arial"/>
        <family val="2"/>
      </rPr>
      <t>F</t>
    </r>
  </si>
  <si>
    <r>
      <t>C</t>
    </r>
    <r>
      <rPr>
        <vertAlign val="subscript"/>
        <sz val="9"/>
        <color theme="1"/>
        <rFont val="Arial"/>
        <family val="2"/>
      </rPr>
      <t>5</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10</t>
    </r>
  </si>
  <si>
    <r>
      <t>C</t>
    </r>
    <r>
      <rPr>
        <vertAlign val="subscript"/>
        <sz val="9"/>
        <color theme="1"/>
        <rFont val="Arial"/>
        <family val="2"/>
      </rPr>
      <t>2</t>
    </r>
    <r>
      <rPr>
        <sz val="9"/>
        <color theme="1"/>
        <rFont val="Arial"/>
        <family val="2"/>
      </rPr>
      <t>HF</t>
    </r>
    <r>
      <rPr>
        <vertAlign val="subscript"/>
        <sz val="9"/>
        <color theme="1"/>
        <rFont val="Arial"/>
        <family val="2"/>
      </rPr>
      <t>5</t>
    </r>
  </si>
  <si>
    <r>
      <t>C</t>
    </r>
    <r>
      <rPr>
        <vertAlign val="subscript"/>
        <sz val="9"/>
        <color theme="1"/>
        <rFont val="Arial"/>
        <family val="2"/>
      </rPr>
      <t>2</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4</t>
    </r>
    <r>
      <rPr>
        <sz val="9"/>
        <color theme="1"/>
        <rFont val="Arial"/>
        <family val="2"/>
      </rPr>
      <t xml:space="preserve"> (CHF</t>
    </r>
    <r>
      <rPr>
        <vertAlign val="subscript"/>
        <sz val="9"/>
        <color theme="1"/>
        <rFont val="Arial"/>
        <family val="2"/>
      </rPr>
      <t>2</t>
    </r>
    <r>
      <rPr>
        <sz val="9"/>
        <color theme="1"/>
        <rFont val="Arial"/>
        <family val="2"/>
      </rPr>
      <t>CHF</t>
    </r>
    <r>
      <rPr>
        <vertAlign val="subscript"/>
        <sz val="9"/>
        <color theme="1"/>
        <rFont val="Arial"/>
        <family val="2"/>
      </rPr>
      <t>2</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</si>
  <si>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4</t>
    </r>
    <r>
      <rPr>
        <sz val="9"/>
        <color theme="1"/>
        <rFont val="Arial"/>
        <family val="2"/>
      </rPr>
      <t xml:space="preserve"> (CH</t>
    </r>
    <r>
      <rPr>
        <vertAlign val="subscript"/>
        <sz val="9"/>
        <color theme="1"/>
        <rFont val="Arial"/>
        <family val="2"/>
      </rPr>
      <t>2</t>
    </r>
    <r>
      <rPr>
        <sz val="9"/>
        <color theme="1"/>
        <rFont val="Arial"/>
        <family val="2"/>
      </rPr>
      <t>FCF</t>
    </r>
    <r>
      <rPr>
        <vertAlign val="subscript"/>
        <sz val="9"/>
        <color theme="1"/>
        <rFont val="Arial"/>
        <family val="2"/>
      </rPr>
      <t>3</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</si>
  <si>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3</t>
    </r>
    <r>
      <rPr>
        <sz val="9"/>
        <color theme="1"/>
        <rFont val="Arial"/>
        <family val="2"/>
      </rPr>
      <t xml:space="preserve"> (CHF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F)</t>
    </r>
  </si>
  <si>
    <r>
      <t>C</t>
    </r>
    <r>
      <rPr>
        <vertAlign val="subscript"/>
        <sz val="9"/>
        <color theme="1"/>
        <rFont val="Arial"/>
        <family val="2"/>
      </rPr>
      <t>2</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3</t>
    </r>
    <r>
      <rPr>
        <sz val="9"/>
        <color theme="1"/>
        <rFont val="Arial"/>
        <family val="2"/>
      </rPr>
      <t xml:space="preserve"> (CF</t>
    </r>
    <r>
      <rPr>
        <vertAlign val="subscript"/>
        <sz val="9"/>
        <color theme="1"/>
        <rFont val="Arial"/>
        <family val="2"/>
      </rPr>
      <t>3</t>
    </r>
    <r>
      <rPr>
        <sz val="9"/>
        <color theme="1"/>
        <rFont val="Arial"/>
        <family val="2"/>
      </rPr>
      <t>CH</t>
    </r>
    <r>
      <rPr>
        <vertAlign val="subscript"/>
        <sz val="9"/>
        <color theme="1"/>
        <rFont val="Arial"/>
        <family val="2"/>
      </rPr>
      <t>3</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</si>
  <si>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4</t>
    </r>
    <r>
      <rPr>
        <sz val="9"/>
        <color theme="1"/>
        <rFont val="Arial"/>
        <family val="2"/>
      </rPr>
      <t>F</t>
    </r>
    <r>
      <rPr>
        <vertAlign val="subscript"/>
        <sz val="9"/>
        <color theme="1"/>
        <rFont val="Arial"/>
        <family val="2"/>
      </rPr>
      <t>2</t>
    </r>
    <r>
      <rPr>
        <sz val="9"/>
        <color theme="1"/>
        <rFont val="Arial"/>
        <family val="2"/>
      </rPr>
      <t xml:space="preserve"> (CH</t>
    </r>
    <r>
      <rPr>
        <vertAlign val="subscript"/>
        <sz val="9"/>
        <color theme="1"/>
        <rFont val="Arial"/>
        <family val="2"/>
      </rPr>
      <t>3</t>
    </r>
    <r>
      <rPr>
        <sz val="9"/>
        <color theme="1"/>
        <rFont val="Arial"/>
        <family val="2"/>
      </rPr>
      <t>CHF</t>
    </r>
    <r>
      <rPr>
        <vertAlign val="subscript"/>
        <sz val="9"/>
        <color theme="1"/>
        <rFont val="Arial"/>
        <family val="2"/>
      </rPr>
      <t>2</t>
    </r>
    <r>
      <rPr>
        <sz val="9"/>
        <color theme="1"/>
        <rFont val="Arial"/>
        <family val="2"/>
      </rPr>
      <t>)</t>
    </r>
  </si>
  <si>
    <r>
      <t>C</t>
    </r>
    <r>
      <rPr>
        <vertAlign val="subscript"/>
        <sz val="9"/>
        <color theme="1"/>
        <rFont val="Arial"/>
        <family val="2"/>
      </rPr>
      <t>3</t>
    </r>
    <r>
      <rPr>
        <sz val="9"/>
        <color theme="1"/>
        <rFont val="Arial"/>
        <family val="2"/>
      </rPr>
      <t>HF</t>
    </r>
    <r>
      <rPr>
        <vertAlign val="subscript"/>
        <sz val="9"/>
        <color theme="1"/>
        <rFont val="Arial"/>
        <family val="2"/>
      </rPr>
      <t>7</t>
    </r>
  </si>
  <si>
    <r>
      <t>C</t>
    </r>
    <r>
      <rPr>
        <vertAlign val="subscript"/>
        <sz val="9"/>
        <color theme="1"/>
        <rFont val="Arial"/>
        <family val="2"/>
      </rPr>
      <t>3</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6</t>
    </r>
  </si>
  <si>
    <r>
      <t>C</t>
    </r>
    <r>
      <rPr>
        <vertAlign val="subscript"/>
        <sz val="9"/>
        <color theme="1"/>
        <rFont val="Arial"/>
        <family val="2"/>
      </rPr>
      <t>3</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5</t>
    </r>
  </si>
  <si>
    <r>
      <t>CHF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CF</t>
    </r>
    <r>
      <rPr>
        <vertAlign val="subscript"/>
        <sz val="9"/>
        <color theme="1"/>
        <rFont val="Arial"/>
        <family val="2"/>
      </rPr>
      <t>3</t>
    </r>
  </si>
  <si>
    <r>
      <t>CH</t>
    </r>
    <r>
      <rPr>
        <vertAlign val="subscript"/>
        <sz val="9"/>
        <color theme="1"/>
        <rFont val="Arial"/>
        <family val="2"/>
      </rPr>
      <t>3</t>
    </r>
    <r>
      <rPr>
        <sz val="9"/>
        <color theme="1"/>
        <rFont val="Arial"/>
        <family val="2"/>
      </rPr>
      <t>CF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CF</t>
    </r>
    <r>
      <rPr>
        <vertAlign val="subscript"/>
        <sz val="9"/>
        <color theme="1"/>
        <rFont val="Arial"/>
        <family val="2"/>
      </rPr>
      <t>3</t>
    </r>
  </si>
  <si>
    <t>Perfluorocarbons PFCs</t>
  </si>
  <si>
    <t>Perfluoromethane (tetrafluoromethane)</t>
  </si>
  <si>
    <r>
      <t>CF</t>
    </r>
    <r>
      <rPr>
        <vertAlign val="subscript"/>
        <sz val="9"/>
        <color theme="1"/>
        <rFont val="Arial"/>
        <family val="2"/>
      </rPr>
      <t>4</t>
    </r>
  </si>
  <si>
    <t>Perfluoroethane (hexafluoroethane)</t>
  </si>
  <si>
    <r>
      <t>C</t>
    </r>
    <r>
      <rPr>
        <vertAlign val="subscript"/>
        <sz val="9"/>
        <color theme="1"/>
        <rFont val="Arial"/>
        <family val="2"/>
      </rPr>
      <t>2</t>
    </r>
    <r>
      <rPr>
        <sz val="9"/>
        <color theme="1"/>
        <rFont val="Arial"/>
        <family val="2"/>
      </rPr>
      <t>F</t>
    </r>
    <r>
      <rPr>
        <vertAlign val="subscript"/>
        <sz val="9"/>
        <color theme="1"/>
        <rFont val="Arial"/>
        <family val="2"/>
      </rPr>
      <t>6</t>
    </r>
  </si>
  <si>
    <r>
      <t>C</t>
    </r>
    <r>
      <rPr>
        <vertAlign val="subscript"/>
        <sz val="9"/>
        <color theme="1"/>
        <rFont val="Arial"/>
        <family val="2"/>
      </rPr>
      <t>3</t>
    </r>
    <r>
      <rPr>
        <sz val="9"/>
        <color theme="1"/>
        <rFont val="Arial"/>
        <family val="2"/>
      </rPr>
      <t>F</t>
    </r>
    <r>
      <rPr>
        <vertAlign val="subscript"/>
        <sz val="9"/>
        <color theme="1"/>
        <rFont val="Arial"/>
        <family val="2"/>
      </rPr>
      <t>8</t>
    </r>
  </si>
  <si>
    <r>
      <t>C</t>
    </r>
    <r>
      <rPr>
        <vertAlign val="subscript"/>
        <sz val="9"/>
        <color theme="1"/>
        <rFont val="Arial"/>
        <family val="2"/>
      </rPr>
      <t>4</t>
    </r>
    <r>
      <rPr>
        <sz val="9"/>
        <color theme="1"/>
        <rFont val="Arial"/>
        <family val="2"/>
      </rPr>
      <t>F</t>
    </r>
    <r>
      <rPr>
        <vertAlign val="subscript"/>
        <sz val="9"/>
        <color theme="1"/>
        <rFont val="Arial"/>
        <family val="2"/>
      </rPr>
      <t>10</t>
    </r>
  </si>
  <si>
    <r>
      <t>c-C</t>
    </r>
    <r>
      <rPr>
        <vertAlign val="subscript"/>
        <sz val="9"/>
        <color theme="1"/>
        <rFont val="Arial"/>
        <family val="2"/>
      </rPr>
      <t>4</t>
    </r>
    <r>
      <rPr>
        <sz val="9"/>
        <color theme="1"/>
        <rFont val="Arial"/>
        <family val="2"/>
      </rPr>
      <t>F</t>
    </r>
    <r>
      <rPr>
        <vertAlign val="subscript"/>
        <sz val="9"/>
        <color theme="1"/>
        <rFont val="Arial"/>
        <family val="2"/>
      </rPr>
      <t>8</t>
    </r>
  </si>
  <si>
    <r>
      <t>C</t>
    </r>
    <r>
      <rPr>
        <vertAlign val="subscript"/>
        <sz val="9"/>
        <color theme="1"/>
        <rFont val="Arial"/>
        <family val="2"/>
      </rPr>
      <t>5</t>
    </r>
    <r>
      <rPr>
        <sz val="9"/>
        <color theme="1"/>
        <rFont val="Arial"/>
        <family val="2"/>
      </rPr>
      <t>F</t>
    </r>
    <r>
      <rPr>
        <vertAlign val="subscript"/>
        <sz val="9"/>
        <color theme="1"/>
        <rFont val="Arial"/>
        <family val="2"/>
      </rPr>
      <t>12</t>
    </r>
  </si>
  <si>
    <r>
      <t>C</t>
    </r>
    <r>
      <rPr>
        <vertAlign val="subscript"/>
        <sz val="9"/>
        <color theme="1"/>
        <rFont val="Arial"/>
        <family val="2"/>
      </rPr>
      <t>6</t>
    </r>
    <r>
      <rPr>
        <sz val="9"/>
        <color theme="1"/>
        <rFont val="Arial"/>
        <family val="2"/>
      </rPr>
      <t>F</t>
    </r>
    <r>
      <rPr>
        <vertAlign val="subscript"/>
        <sz val="9"/>
        <color theme="1"/>
        <rFont val="Arial"/>
        <family val="2"/>
      </rPr>
      <t>14</t>
    </r>
  </si>
  <si>
    <t xml:space="preserve">Refrigerants and other </t>
  </si>
  <si>
    <t>Unit</t>
  </si>
  <si>
    <r>
      <t>Global Warming Potential in a 100 year period (kg CO</t>
    </r>
    <r>
      <rPr>
        <b/>
        <vertAlign val="subscript"/>
        <sz val="11"/>
        <color theme="1"/>
        <rFont val="Calibri"/>
        <family val="2"/>
        <scheme val="minor"/>
      </rPr>
      <t>2</t>
    </r>
    <r>
      <rPr>
        <b/>
        <sz val="11"/>
        <color theme="1"/>
        <rFont val="Calibri"/>
        <family val="2"/>
        <scheme val="minor"/>
      </rPr>
      <t>-e)</t>
    </r>
  </si>
  <si>
    <r>
      <t>CCl</t>
    </r>
    <r>
      <rPr>
        <vertAlign val="subscript"/>
        <sz val="11"/>
        <color rgb="FF000000"/>
        <rFont val="Calibri"/>
        <family val="2"/>
        <scheme val="minor"/>
      </rPr>
      <t>3</t>
    </r>
    <r>
      <rPr>
        <sz val="11"/>
        <color rgb="FF000000"/>
        <rFont val="Calibri"/>
        <family val="2"/>
        <scheme val="minor"/>
      </rPr>
      <t>F  </t>
    </r>
  </si>
  <si>
    <t>kg</t>
  </si>
  <si>
    <r>
      <t>CCl</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</si>
  <si>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3 </t>
    </r>
    <r>
      <rPr>
        <sz val="11"/>
        <color rgb="FF000000"/>
        <rFont val="Calibri"/>
        <family val="2"/>
        <scheme val="minor"/>
      </rPr>
      <t> </t>
    </r>
  </si>
  <si>
    <r>
      <t>CCl</t>
    </r>
    <r>
      <rPr>
        <vertAlign val="subscript"/>
        <sz val="11"/>
        <color rgb="FF000000"/>
        <rFont val="Calibri"/>
        <family val="2"/>
        <scheme val="minor"/>
      </rPr>
      <t>2</t>
    </r>
    <r>
      <rPr>
        <sz val="11"/>
        <color rgb="FF000000"/>
        <rFont val="Calibri"/>
        <family val="2"/>
        <scheme val="minor"/>
      </rPr>
      <t>FCClF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</si>
  <si>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</si>
  <si>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</si>
  <si>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CBrF</t>
    </r>
    <r>
      <rPr>
        <vertAlign val="subscript"/>
        <sz val="11"/>
        <color rgb="FF000000"/>
        <rFont val="Calibri"/>
        <family val="2"/>
        <scheme val="minor"/>
      </rPr>
      <t>3 </t>
    </r>
    <r>
      <rPr>
        <sz val="11"/>
        <color rgb="FF000000"/>
        <rFont val="Calibri"/>
        <family val="2"/>
        <scheme val="minor"/>
      </rPr>
      <t> </t>
    </r>
  </si>
  <si>
    <r>
      <t>CBrClF</t>
    </r>
    <r>
      <rPr>
        <vertAlign val="subscript"/>
        <sz val="11"/>
        <color rgb="FF000000"/>
        <rFont val="Calibri"/>
        <family val="2"/>
        <scheme val="minor"/>
      </rPr>
      <t>2 </t>
    </r>
    <r>
      <rPr>
        <sz val="11"/>
        <color rgb="FF000000"/>
        <rFont val="Calibri"/>
        <family val="2"/>
        <scheme val="minor"/>
      </rPr>
      <t> </t>
    </r>
  </si>
  <si>
    <r>
      <t>CBrF</t>
    </r>
    <r>
      <rPr>
        <vertAlign val="subscript"/>
        <sz val="11"/>
        <color rgb="FF000000"/>
        <rFont val="Calibri"/>
        <family val="2"/>
        <scheme val="minor"/>
      </rPr>
      <t>2</t>
    </r>
    <r>
      <rPr>
        <sz val="11"/>
        <color rgb="FF000000"/>
        <rFont val="Calibri"/>
        <family val="2"/>
        <scheme val="minor"/>
      </rPr>
      <t>CBrF</t>
    </r>
    <r>
      <rPr>
        <vertAlign val="subscript"/>
        <sz val="11"/>
        <color rgb="FF000000"/>
        <rFont val="Calibri"/>
        <family val="2"/>
        <scheme val="minor"/>
      </rPr>
      <t>2 </t>
    </r>
    <r>
      <rPr>
        <sz val="11"/>
        <color rgb="FF000000"/>
        <rFont val="Calibri"/>
        <family val="2"/>
        <scheme val="minor"/>
      </rPr>
      <t> </t>
    </r>
  </si>
  <si>
    <r>
      <t>CCl</t>
    </r>
    <r>
      <rPr>
        <vertAlign val="subscript"/>
        <sz val="11"/>
        <color rgb="FF000000"/>
        <rFont val="Calibri"/>
        <family val="2"/>
        <scheme val="minor"/>
      </rPr>
      <t>4 </t>
    </r>
    <r>
      <rPr>
        <sz val="11"/>
        <color rgb="FF000000"/>
        <rFont val="Calibri"/>
        <family val="2"/>
        <scheme val="minor"/>
      </rPr>
      <t> </t>
    </r>
  </si>
  <si>
    <r>
      <t>CH</t>
    </r>
    <r>
      <rPr>
        <vertAlign val="subscript"/>
        <sz val="11"/>
        <color rgb="FF000000"/>
        <rFont val="Calibri"/>
        <family val="2"/>
        <scheme val="minor"/>
      </rPr>
      <t>3</t>
    </r>
    <r>
      <rPr>
        <sz val="11"/>
        <color rgb="FF000000"/>
        <rFont val="Calibri"/>
        <family val="2"/>
        <scheme val="minor"/>
      </rPr>
      <t>Br  </t>
    </r>
  </si>
  <si>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3 </t>
    </r>
    <r>
      <rPr>
        <sz val="11"/>
        <color rgb="FF000000"/>
        <rFont val="Calibri"/>
        <family val="2"/>
        <scheme val="minor"/>
      </rPr>
      <t> </t>
    </r>
  </si>
  <si>
    <r>
      <t>CHClF</t>
    </r>
    <r>
      <rPr>
        <vertAlign val="subscript"/>
        <sz val="11"/>
        <color rgb="FF000000"/>
        <rFont val="Calibri"/>
        <family val="2"/>
        <scheme val="minor"/>
      </rPr>
      <t>2 </t>
    </r>
    <r>
      <rPr>
        <sz val="11"/>
        <color rgb="FF000000"/>
        <rFont val="Calibri"/>
        <family val="2"/>
        <scheme val="minor"/>
      </rPr>
      <t> </t>
    </r>
  </si>
  <si>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</si>
  <si>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CHClFCF</t>
    </r>
    <r>
      <rPr>
        <vertAlign val="subscript"/>
        <sz val="11"/>
        <color rgb="FF000000"/>
        <rFont val="Calibri"/>
        <family val="2"/>
        <scheme val="minor"/>
      </rPr>
      <t>3 </t>
    </r>
    <r>
      <rPr>
        <sz val="11"/>
        <color rgb="FF000000"/>
        <rFont val="Calibri"/>
        <family val="2"/>
        <scheme val="minor"/>
      </rPr>
      <t> </t>
    </r>
  </si>
  <si>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2</t>
    </r>
    <r>
      <rPr>
        <sz val="11"/>
        <color rgb="FF000000"/>
        <rFont val="Calibri"/>
        <family val="2"/>
        <scheme val="minor"/>
      </rPr>
      <t>F  </t>
    </r>
  </si>
  <si>
    <r>
      <t>CH</t>
    </r>
    <r>
      <rPr>
        <vertAlign val="subscript"/>
        <sz val="11"/>
        <color rgb="FF000000"/>
        <rFont val="Calibri"/>
        <family val="2"/>
        <scheme val="minor"/>
      </rPr>
      <t>3</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</si>
  <si>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</si>
  <si>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CHClFCF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</si>
  <si>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t>Sulphur hexafluoride  </t>
  </si>
  <si>
    <r>
      <t>SF</t>
    </r>
    <r>
      <rPr>
        <vertAlign val="subscript"/>
        <sz val="11"/>
        <color rgb="FF000000"/>
        <rFont val="Calibri"/>
        <family val="2"/>
        <scheme val="minor"/>
      </rPr>
      <t>6 </t>
    </r>
    <r>
      <rPr>
        <sz val="11"/>
        <color rgb="FF000000"/>
        <rFont val="Calibri"/>
        <family val="2"/>
        <scheme val="minor"/>
      </rPr>
      <t> </t>
    </r>
  </si>
  <si>
    <t>Nitrogen trifluoride  </t>
  </si>
  <si>
    <r>
      <t>NF</t>
    </r>
    <r>
      <rPr>
        <vertAlign val="subscript"/>
        <sz val="11"/>
        <color rgb="FF000000"/>
        <rFont val="Calibri"/>
        <family val="2"/>
        <scheme val="minor"/>
      </rPr>
      <t>3 </t>
    </r>
    <r>
      <rPr>
        <sz val="11"/>
        <color rgb="FF000000"/>
        <rFont val="Calibri"/>
        <family val="2"/>
        <scheme val="minor"/>
      </rPr>
      <t> </t>
    </r>
  </si>
  <si>
    <t>Trifluoromethyl sulphur pentafluoride </t>
  </si>
  <si>
    <r>
      <t>Fluorinated ethers </t>
    </r>
    <r>
      <rPr>
        <sz val="8"/>
        <color rgb="FF0C3086"/>
        <rFont val="Arial"/>
        <family val="2"/>
      </rPr>
      <t> </t>
    </r>
  </si>
  <si>
    <t>HFE-125  </t>
  </si>
  <si>
    <t>HFE-134  </t>
  </si>
  <si>
    <t>HFE-143a  </t>
  </si>
  <si>
    <t>HCFE-235da2  </t>
  </si>
  <si>
    <t>HFE-245cb2  </t>
  </si>
  <si>
    <t>HFE-245fa2  </t>
  </si>
  <si>
    <t>HFE-254cb2  </t>
  </si>
  <si>
    <t>HFE-347mcc3  </t>
  </si>
  <si>
    <t>HFE-347pcf2  </t>
  </si>
  <si>
    <t>HFE-356pcc3  </t>
  </si>
  <si>
    <t>HFE-449sl (HFE-7100)  </t>
  </si>
  <si>
    <t>HFE-569sf2 (HFE-7200)  </t>
  </si>
  <si>
    <t>HFE-43-10pccc124 (H-Galden 1040x)  </t>
  </si>
  <si>
    <t>HFE-236ca12 (HG-10)  </t>
  </si>
  <si>
    <t>HFE-338pcc13 (HG-01)  </t>
  </si>
  <si>
    <r>
      <t>Perfluoropolyethers</t>
    </r>
    <r>
      <rPr>
        <sz val="8"/>
        <color rgb="FF0C3086"/>
        <rFont val="Arial"/>
        <family val="2"/>
      </rPr>
      <t>  </t>
    </r>
  </si>
  <si>
    <t>PFPMIE  </t>
  </si>
  <si>
    <r>
      <t>Hydrocarbons and other compounds – Direct Effects </t>
    </r>
    <r>
      <rPr>
        <sz val="8"/>
        <color rgb="FF0C3086"/>
        <rFont val="Arial"/>
        <family val="2"/>
      </rPr>
      <t> </t>
    </r>
  </si>
  <si>
    <t>Dimethylether  </t>
  </si>
  <si>
    <t>Methylene chloride  </t>
  </si>
  <si>
    <t>Methyl chloride  </t>
  </si>
  <si>
    <t>Refrigerant blends: Zeotropes</t>
  </si>
  <si>
    <t xml:space="preserve">ASHRAE Refrigerant designation </t>
  </si>
  <si>
    <t xml:space="preserve">Mix (mass %) </t>
  </si>
  <si>
    <t>GWP (calculated)</t>
  </si>
  <si>
    <t>404A</t>
  </si>
  <si>
    <t>R-125/143a/134a (44.0/52.0/4.0)</t>
  </si>
  <si>
    <t>406A</t>
  </si>
  <si>
    <t>R-22/600a/142b (55.0/4.0/41.0)</t>
  </si>
  <si>
    <t>407C</t>
  </si>
  <si>
    <t>R-32/125/134a (23.0/25.0/52.0)</t>
  </si>
  <si>
    <t>407F</t>
  </si>
  <si>
    <t>R-32/125/134a (30.0/30.0/40.0)</t>
  </si>
  <si>
    <t>408A</t>
  </si>
  <si>
    <t>R-125/143a/22 (7.0/46.0/47.0)</t>
  </si>
  <si>
    <t>409A</t>
  </si>
  <si>
    <t>R-22/124/142b (60.0/25.0/15.0)</t>
  </si>
  <si>
    <t>409B</t>
  </si>
  <si>
    <t>R-22/124/142b (65.0/25.0/10.0)</t>
  </si>
  <si>
    <t>410A</t>
  </si>
  <si>
    <t>R-32/125 (50.0/50.0)</t>
  </si>
  <si>
    <t>436A</t>
  </si>
  <si>
    <t>R-290/600a (56.0/44.0)</t>
  </si>
  <si>
    <t>436B</t>
  </si>
  <si>
    <t>R-290/600a (52.0/48.0)</t>
  </si>
  <si>
    <t>Refrigerant blends: Azeotropes</t>
  </si>
  <si>
    <t>507A</t>
  </si>
  <si>
    <t>R-125/143a (50.0/50.0)</t>
  </si>
  <si>
    <t>Medical gases</t>
  </si>
  <si>
    <t>HFE-347mmz1 (Sevoflurane)*</t>
  </si>
  <si>
    <r>
      <t>(CF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F</t>
    </r>
  </si>
  <si>
    <t>HCFE-235da2 (Isoflurane)</t>
  </si>
  <si>
    <r>
      <t>CHF</t>
    </r>
    <r>
      <rPr>
        <vertAlign val="subscript"/>
        <sz val="11"/>
        <rFont val="Calibri"/>
        <family val="2"/>
        <scheme val="minor"/>
      </rPr>
      <t>2</t>
    </r>
    <r>
      <rPr>
        <sz val="11"/>
        <rFont val="Calibri"/>
        <family val="2"/>
        <scheme val="minor"/>
      </rPr>
      <t>OCHClCF</t>
    </r>
    <r>
      <rPr>
        <vertAlign val="subscript"/>
        <sz val="11"/>
        <rFont val="Calibri"/>
        <family val="2"/>
        <scheme val="minor"/>
      </rPr>
      <t>3</t>
    </r>
  </si>
  <si>
    <t>HFE-236ea2 (Desflurane)*</t>
  </si>
  <si>
    <r>
      <t>CHF</t>
    </r>
    <r>
      <rPr>
        <vertAlign val="subscript"/>
        <sz val="11"/>
        <rFont val="Calibri"/>
        <family val="2"/>
        <scheme val="minor"/>
      </rPr>
      <t>2</t>
    </r>
    <r>
      <rPr>
        <sz val="11"/>
        <rFont val="Calibri"/>
        <family val="2"/>
        <scheme val="minor"/>
      </rPr>
      <t>OCHFCF</t>
    </r>
    <r>
      <rPr>
        <vertAlign val="subscript"/>
        <sz val="11"/>
        <rFont val="Calibri"/>
        <family val="2"/>
        <scheme val="minor"/>
      </rPr>
      <t>3</t>
    </r>
  </si>
  <si>
    <t>Medical gas blends</t>
  </si>
  <si>
    <t>Entonox</t>
  </si>
  <si>
    <r>
      <t>N</t>
    </r>
    <r>
      <rPr>
        <vertAlign val="subscript"/>
        <sz val="11"/>
        <rFont val="Calibri"/>
        <family val="2"/>
        <scheme val="minor"/>
      </rPr>
      <t>2</t>
    </r>
    <r>
      <rPr>
        <sz val="11"/>
        <rFont val="Calibri"/>
        <family val="2"/>
        <scheme val="minor"/>
      </rPr>
      <t>O/O</t>
    </r>
    <r>
      <rPr>
        <vertAlign val="subscript"/>
        <sz val="11"/>
        <rFont val="Calibri"/>
        <family val="2"/>
        <scheme val="minor"/>
      </rPr>
      <t>2</t>
    </r>
    <r>
      <rPr>
        <sz val="11"/>
        <rFont val="Calibri"/>
        <family val="2"/>
        <scheme val="minor"/>
      </rPr>
      <t xml:space="preserve"> (50.0/50.0)</t>
    </r>
  </si>
  <si>
    <t>https://environment.govt.nz/publications/measuring-emissions-detailed-guide-2020/</t>
  </si>
  <si>
    <t xml:space="preserve">Bituminous coal </t>
  </si>
  <si>
    <t>Coking coal</t>
  </si>
  <si>
    <t>Coal briquettes</t>
  </si>
  <si>
    <t>Coal coke</t>
  </si>
  <si>
    <t>Coal tar</t>
  </si>
  <si>
    <t>Solid fossil fuels other than those mentioned in the items above</t>
  </si>
  <si>
    <t>Non‑biomass municipal materials, if combusted to produce heat or electricity</t>
  </si>
  <si>
    <t>Dry wood</t>
  </si>
  <si>
    <t>Green and air dried wood</t>
  </si>
  <si>
    <t>Bagasse</t>
  </si>
  <si>
    <t>Biomass, municipal and industrial materials, if combusted to produce heat or electricity</t>
  </si>
  <si>
    <t>Charcoal</t>
  </si>
  <si>
    <t>Primary solid biomass fuels other than those mentioned in the items above</t>
  </si>
  <si>
    <t>Table 5: Indirect (scope 2) emission factors for consumption of purchased electricity or loss of electricity from the grid</t>
  </si>
  <si>
    <t xml:space="preserve">State or Territory </t>
  </si>
  <si>
    <r>
      <t>kg CO</t>
    </r>
    <r>
      <rPr>
        <b/>
        <vertAlign val="subscript"/>
        <sz val="8"/>
        <color theme="1"/>
        <rFont val="Arial"/>
        <family val="2"/>
      </rPr>
      <t>2</t>
    </r>
    <r>
      <rPr>
        <b/>
        <sz val="8"/>
        <color theme="1"/>
        <rFont val="Arial"/>
        <family val="2"/>
      </rPr>
      <t>‑e/kWh</t>
    </r>
  </si>
  <si>
    <t>Electricity grid</t>
  </si>
  <si>
    <t xml:space="preserve">National Electricity Market (NEM) </t>
  </si>
  <si>
    <t>Off-grid</t>
  </si>
  <si>
    <t xml:space="preserve">For Scope 3 see: Table 46: Scope 2 and 3 emissions factors – consumption of purchased electricity by end users </t>
  </si>
  <si>
    <t>ROAD Freighting goods in New Zealand</t>
  </si>
  <si>
    <t>Emission source</t>
  </si>
  <si>
    <r>
      <t>kg CO</t>
    </r>
    <r>
      <rPr>
        <b/>
        <vertAlign val="subscript"/>
        <sz val="11"/>
        <rFont val="Calibri"/>
        <family val="2"/>
        <scheme val="minor"/>
      </rPr>
      <t>2</t>
    </r>
    <r>
      <rPr>
        <b/>
        <sz val="11"/>
        <rFont val="Calibri"/>
        <family val="2"/>
        <scheme val="minor"/>
      </rPr>
      <t>-e</t>
    </r>
  </si>
  <si>
    <r>
      <t>CO</t>
    </r>
    <r>
      <rPr>
        <vertAlign val="sub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t>
    </r>
  </si>
  <si>
    <r>
      <t>CH</t>
    </r>
    <r>
      <rPr>
        <vertAlign val="subscript"/>
        <sz val="11"/>
        <rFont val="Calibri"/>
        <family val="2"/>
        <scheme val="minor"/>
      </rPr>
      <t>4</t>
    </r>
    <r>
      <rPr>
        <b/>
        <sz val="11"/>
        <rFont val="Calibri"/>
        <family val="2"/>
        <scheme val="minor"/>
      </rPr>
      <t xml:space="preserve"> (kg CO</t>
    </r>
    <r>
      <rPr>
        <b/>
        <vertAlign val="subscript"/>
        <sz val="11"/>
        <rFont val="Calibri"/>
        <family val="2"/>
        <scheme val="minor"/>
      </rPr>
      <t>2</t>
    </r>
    <r>
      <rPr>
        <b/>
        <sz val="11"/>
        <rFont val="Calibri"/>
        <family val="2"/>
        <scheme val="minor"/>
      </rPr>
      <t>-e)</t>
    </r>
  </si>
  <si>
    <r>
      <t>N</t>
    </r>
    <r>
      <rPr>
        <b/>
        <vertAlign val="subscript"/>
        <sz val="11"/>
        <rFont val="Calibri"/>
        <family val="2"/>
        <scheme val="minor"/>
      </rPr>
      <t>2</t>
    </r>
    <r>
      <rPr>
        <b/>
        <sz val="11"/>
        <rFont val="Calibri"/>
        <family val="2"/>
        <scheme val="minor"/>
      </rPr>
      <t>O (kg CO</t>
    </r>
    <r>
      <rPr>
        <b/>
        <vertAlign val="subscript"/>
        <sz val="11"/>
        <rFont val="Calibri"/>
        <family val="2"/>
        <scheme val="minor"/>
      </rPr>
      <t>2</t>
    </r>
    <r>
      <rPr>
        <b/>
        <sz val="11"/>
        <rFont val="Calibri"/>
        <family val="2"/>
        <scheme val="minor"/>
      </rPr>
      <t>-e)</t>
    </r>
  </si>
  <si>
    <t xml:space="preserve">Uncertainties </t>
  </si>
  <si>
    <t>Assumptions</t>
  </si>
  <si>
    <t>Long-haul heavy truck</t>
  </si>
  <si>
    <t>Assumed majority of long-haul heavy trucks are diesel</t>
  </si>
  <si>
    <t>Urban delivery heavy truck</t>
  </si>
  <si>
    <t>Assumed majority of urban delivery heavy trucks are diesel</t>
  </si>
  <si>
    <t>All trucks</t>
  </si>
  <si>
    <t>Using motor vehicle register, 79% of goods vans/ trucks and utility vehicles are diesel and therefore it is assumed that this figure is for diesel vehicles.</t>
  </si>
  <si>
    <t>Road freight emission factors for Light commercial vehicles</t>
  </si>
  <si>
    <t>Pre 2010 Fleet</t>
  </si>
  <si>
    <t>2010 - 2015 Fleet</t>
  </si>
  <si>
    <t>Post 2015 Fleet</t>
  </si>
  <si>
    <t>&lt;1350 cc</t>
  </si>
  <si>
    <t>km</t>
  </si>
  <si>
    <t>1350 - &lt;1600 cc</t>
  </si>
  <si>
    <t>1600 -&lt;2000 cc</t>
  </si>
  <si>
    <t>2000 - &lt;3000 cc</t>
  </si>
  <si>
    <t>≥3000 cc</t>
  </si>
  <si>
    <t xml:space="preserve">Diesel </t>
  </si>
  <si>
    <t xml:space="preserve">Diesel hybrid </t>
  </si>
  <si>
    <t>Petrol PHEV</t>
  </si>
  <si>
    <t>Electricity : petrol PHEV</t>
  </si>
  <si>
    <t>Diesel PHEV</t>
  </si>
  <si>
    <t>Electricity : diesel PHEV</t>
  </si>
  <si>
    <t xml:space="preserve">Electricity : BEV </t>
  </si>
  <si>
    <t>Default freight emission factors for Light commercial vehicles</t>
  </si>
  <si>
    <t>Default (pre-2010)</t>
  </si>
  <si>
    <t>Petrol Hybrid</t>
  </si>
  <si>
    <t>Diesel Hybrid</t>
  </si>
  <si>
    <t>ROAD freight emission factors for Heavy goods vehicles</t>
  </si>
  <si>
    <t xml:space="preserve">HGV diesel </t>
  </si>
  <si>
    <t xml:space="preserve">&lt; 5,000 kg </t>
  </si>
  <si>
    <t xml:space="preserve">5,000 - 7,500 kg </t>
  </si>
  <si>
    <t>7,500 - 10,000 kg</t>
  </si>
  <si>
    <t xml:space="preserve">10,000 - 12,000 kg </t>
  </si>
  <si>
    <t xml:space="preserve">12,000kg - 15,000 kg </t>
  </si>
  <si>
    <t xml:space="preserve">15,000 - 20,000 kg </t>
  </si>
  <si>
    <t xml:space="preserve">20,000 - 25,000 kg </t>
  </si>
  <si>
    <t xml:space="preserve">25,000 - 30,000 kg </t>
  </si>
  <si>
    <t xml:space="preserve">≥ 30,000 kg </t>
  </si>
  <si>
    <t xml:space="preserve">HGV diesel hybrid </t>
  </si>
  <si>
    <t xml:space="preserve">HGV BEV </t>
  </si>
  <si>
    <t>n/a</t>
  </si>
  <si>
    <t>Default (pre-2010 and &lt;7500kg gross vehicle mass)</t>
  </si>
  <si>
    <t>HGV Diesel</t>
  </si>
  <si>
    <t>HGV Diesel Hybrid</t>
  </si>
  <si>
    <t xml:space="preserve">AIR TRAVEL Freight emission factors </t>
  </si>
  <si>
    <t>With radiative forcing multiplier</t>
  </si>
  <si>
    <t>Without radiative forcing multiplier</t>
  </si>
  <si>
    <t>Freight flights</t>
  </si>
  <si>
    <t>unknown</t>
  </si>
  <si>
    <t>Short haul</t>
  </si>
  <si>
    <t xml:space="preserve">Long haul </t>
  </si>
  <si>
    <t xml:space="preserve">SEA TRAVEL Freight emission factors </t>
  </si>
  <si>
    <t>Domestic coastal freight</t>
  </si>
  <si>
    <t>Oil products</t>
  </si>
  <si>
    <t>Unknown</t>
  </si>
  <si>
    <t>Assumed heavy fuel oil is the shipping fuel used</t>
  </si>
  <si>
    <t>Other bulk</t>
  </si>
  <si>
    <t>Container freight</t>
  </si>
  <si>
    <t>International sea travel - adopted from the UK</t>
  </si>
  <si>
    <t>Bulk carrier</t>
  </si>
  <si>
    <t>200,000+ dwt</t>
  </si>
  <si>
    <t>100,000–199,999 dwt</t>
  </si>
  <si>
    <t>60,000–99,999 dwt</t>
  </si>
  <si>
    <t>35,000–59,999 dwt</t>
  </si>
  <si>
    <t>10,000–34,999 dwt</t>
  </si>
  <si>
    <t>0–9999 dwt</t>
  </si>
  <si>
    <t>Average</t>
  </si>
  <si>
    <t>General cargo</t>
  </si>
  <si>
    <t>10,000+ dwt</t>
  </si>
  <si>
    <t>5000–9999 dwt</t>
  </si>
  <si>
    <t>0–4999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</si>
  <si>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</si>
  <si>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</si>
  <si>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</si>
  <si>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</si>
  <si>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</si>
  <si>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</si>
  <si>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</si>
  <si>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</si>
  <si>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</si>
  <si>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</si>
  <si>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</si>
  <si>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</si>
  <si>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</si>
  <si>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</si>
  <si>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</si>
  <si>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</si>
  <si>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Refrigerated cargo</t>
  </si>
  <si>
    <t xml:space="preserve"> All dwt</t>
  </si>
  <si>
    <t xml:space="preserve">RAIL  freight emission factors </t>
  </si>
  <si>
    <t>Rail Freight</t>
  </si>
  <si>
    <t xml:space="preserve">Rail Freight </t>
  </si>
  <si>
    <t xml:space="preserve">Utilizing New Zealand's emission factors for transportation emission factors as AUS does not provide emissions factors on a per km basis. AUS provides emissions factors on a GJ/kL basis which would require knowing the fuel type and efficiency for each mode of transportation. </t>
  </si>
  <si>
    <t>Gross Carbon Released During Wood Product Manufacturing</t>
  </si>
  <si>
    <t>A</t>
  </si>
  <si>
    <t xml:space="preserve">Based on </t>
  </si>
  <si>
    <t>Biofuel Used During Wood Product Manufacturing</t>
  </si>
  <si>
    <t>B</t>
  </si>
  <si>
    <t>https://www.fpl.fs.fed.us/documnts/pdf2014/fpl_2014_bergman007.pdf</t>
  </si>
  <si>
    <t>Carbon Stored in the Wood Product</t>
  </si>
  <si>
    <t>C</t>
  </si>
  <si>
    <t>Hardwood Lumber Embedded Emissions</t>
  </si>
  <si>
    <t>A + B</t>
  </si>
  <si>
    <t>lbs CO2/product, where product = 12in x 12in x 1in</t>
  </si>
  <si>
    <t>Hardwood Lumber Embedded Emissions (minus Carbon stored in wood)</t>
  </si>
  <si>
    <t>(A + B) - C</t>
  </si>
  <si>
    <t>Emission Factors for most packaging materials from the International Wine Carbon Calculator Protocol, Version 1.2: http://www.wineinstitute.org/files/International%20Wine%20Carbon%20Calculator%20Protocol%20V1.2.pdf</t>
  </si>
  <si>
    <t>Emission Factor for Glass from: U.S. EPA Documentation for Greenhouse Gas Emission and Energy Factors Used in the Waste Reduction Model (WARM)</t>
  </si>
  <si>
    <r>
      <t xml:space="preserve">IWCC Version 1.2 - </t>
    </r>
    <r>
      <rPr>
        <b/>
        <u/>
        <sz val="12"/>
        <color rgb="FFFF0000"/>
        <rFont val="Calibri"/>
        <family val="2"/>
        <scheme val="minor"/>
      </rPr>
      <t>Packaging Emission Factors</t>
    </r>
  </si>
  <si>
    <r>
      <t xml:space="preserve">EPA 2019 WARM Model - </t>
    </r>
    <r>
      <rPr>
        <b/>
        <u/>
        <sz val="12"/>
        <color rgb="FFFF0000"/>
        <rFont val="Calibri"/>
        <family val="2"/>
        <scheme val="minor"/>
      </rPr>
      <t>Glass Bottle Emission Factors</t>
    </r>
  </si>
  <si>
    <t>Additional Packaing Emission Factors</t>
  </si>
  <si>
    <t>EF (kgCO2-Eq/kg)</t>
  </si>
  <si>
    <t>kraft paper production (RoW) (ecoinvent 3.9)</t>
  </si>
  <si>
    <t>Wax seals (paraffin)</t>
  </si>
  <si>
    <t>paraffin production (RoW) (ecoinvent 3.9)</t>
  </si>
  <si>
    <t>See below</t>
  </si>
  <si>
    <t>Wine bag in box source/details:</t>
  </si>
  <si>
    <t>2018 study carried out by Gaia Consulting Oy, "Update of wine packaging LCA – Final report"</t>
  </si>
  <si>
    <t>https://www.omsystembolaget.se/globalassets/pdf/hallbarhet/alko-wine-packaging-lca-update_final-report.pdf</t>
  </si>
  <si>
    <t>Emission factor is inclusive of primary production (and upstream transportation) of raw materials, production of energy, and production of both the packaging and closure</t>
  </si>
  <si>
    <t>Study output detailed an emissions factor of 116.1 g CO2e/100 g package</t>
  </si>
  <si>
    <t>Calculation assumptions are noted in the study. Bag-in-box packaging considered cardboard, bag (all materials used to make up the bag), and closure.</t>
  </si>
  <si>
    <t xml:space="preserve">Utilizing US recycling emission factors and NZ composting emission factors as AUS only provides for solid waste. </t>
  </si>
  <si>
    <t>Waste types</t>
  </si>
  <si>
    <t>Municipal solid waste</t>
  </si>
  <si>
    <t>Commercial and industrial waste</t>
  </si>
  <si>
    <t>Construction and demolition waste</t>
  </si>
  <si>
    <r>
      <t>Metric Tons CO</t>
    </r>
    <r>
      <rPr>
        <b/>
        <vertAlign val="subscript"/>
        <sz val="10"/>
        <rFont val="Arial"/>
        <family val="2"/>
      </rPr>
      <t>2</t>
    </r>
    <r>
      <rPr>
        <b/>
        <sz val="10"/>
        <rFont val="Arial"/>
        <family val="2"/>
      </rPr>
      <t>e / Short Ton Material</t>
    </r>
  </si>
  <si>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</si>
  <si>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</si>
  <si>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</si>
  <si>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</si>
  <si>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t>Anaerobically Digested (Dry Digestate with Curing)</t>
  </si>
  <si>
    <t>Anaerobically Digested (Wet  Digestate with Curing)</t>
  </si>
  <si>
    <t>Mixed Recyclables</t>
  </si>
  <si>
    <t>Source: https://www.epa.gov/sites/production/files/2021-04/documents/emission-factors_apr2021.pdf</t>
  </si>
  <si>
    <t xml:space="preserve">  </t>
  </si>
  <si>
    <t xml:space="preserve">Private car default (2000 - 3000cc) </t>
  </si>
  <si>
    <t>Rental car default (engine size 1600 -&lt;2000cc) assumed to be 2010 -2015 fleet</t>
  </si>
  <si>
    <t>Taxi Travel</t>
  </si>
  <si>
    <t>Taxi travel - distance travelled (taxi is the average between 1600 -&lt;3000 based on MIA data)</t>
  </si>
  <si>
    <t>Taxi travel - dollars spent ($3.20/kilometre)</t>
  </si>
  <si>
    <t>$</t>
  </si>
  <si>
    <t xml:space="preserve">DOMESTIC AIR TRAVEL Passenger emission factors </t>
  </si>
  <si>
    <t>With Radiative Forcing factors</t>
  </si>
  <si>
    <t>Domestic flight</t>
  </si>
  <si>
    <t>National average</t>
  </si>
  <si>
    <t>passenger.km</t>
  </si>
  <si>
    <t>Jet aircraft</t>
  </si>
  <si>
    <t>Medium aircraft</t>
  </si>
  <si>
    <t>Small aircraft</t>
  </si>
  <si>
    <t xml:space="preserve">INTERNATIONAL AIR TRAVEL Passenger emission factors </t>
  </si>
  <si>
    <t>Short-haul (&lt;3700km)</t>
  </si>
  <si>
    <t>Average passenger</t>
  </si>
  <si>
    <t>Economy class</t>
  </si>
  <si>
    <t>Business class</t>
  </si>
  <si>
    <t>Long-haul (&gt;3700km)</t>
  </si>
  <si>
    <t>Premium economy class</t>
  </si>
  <si>
    <t>First class</t>
  </si>
  <si>
    <t>Public transport passenger travel emission factors</t>
  </si>
  <si>
    <t xml:space="preserve"> (based on Wellington)</t>
  </si>
  <si>
    <t>Average Bus</t>
  </si>
  <si>
    <t>https://www.ato.gov.au/Business/Income-and-deductions-for-business/Deductions/Deductions-for-motor-vehicle-expenses/Cents-per-kilometre-method/</t>
  </si>
  <si>
    <t>Source -OIV COLLECTIVE EXPERTISE: METHODOLOGICAL RECOMMENDATIONS FOR ACCOUNTING FOR GHG BALANCE IN THE VITIVINICULTURAL SECTOR</t>
  </si>
  <si>
    <t xml:space="preserve">North America </t>
  </si>
  <si>
    <t>Fertilizer Type</t>
  </si>
  <si>
    <t xml:space="preserve">Low Range </t>
  </si>
  <si>
    <t>High Range</t>
  </si>
  <si>
    <t xml:space="preserve">Metric </t>
  </si>
  <si>
    <t>g CO2e / per kg fertilizer</t>
  </si>
  <si>
    <t>(The average of three mean N fertilizer emission factors) Source: A Review of Greenhouse Gas Emission Factors for Fertilizer Production: https://www.researchgate.net/publication/235704822_A_Review_of_Greenhouse_Gas_Emission_Factors_for_Fertiliser_Production)</t>
  </si>
  <si>
    <t>g CO2e / per kg N</t>
  </si>
  <si>
    <t>Source: A Review of Greenhouse Gas Emission Factors for Fertilizer Production: https://www.researchgate.net/publication/235704822_A_Review_of_Greenhouse_Gas_Emission_Factors_for_Fertiliser_Production</t>
  </si>
  <si>
    <t>kg CO2e / per kg N</t>
  </si>
  <si>
    <t>Ammonium Nitrate</t>
  </si>
  <si>
    <t>kg CO2e / per kg fertilizer</t>
  </si>
  <si>
    <t>For Unknown Fertilizers:</t>
  </si>
  <si>
    <t>Where sum of N is known, emission factors for US mean N fertilizer production is used (Source: A Review of Greenhouse Gas Emission Factors for Fertilizer Production: https://www.researchgate.net/publication/235704822_A_Review_of_Greenhouse_Gas_Emission_Factors_for_Fertiliser_Production)</t>
  </si>
  <si>
    <t>Where only product sum is know, average emission factor of 3 German studies on fertilizer production emissions are used (Source: A Review of Greenhouse Gas Emission Factors for Fertilizer Production: https://www.researchgate.net/publication/235704822_A_Review_of_Greenhouse_Gas_Emission_Factors_for_Fertiliser_Production)</t>
  </si>
  <si>
    <t>Wine Storage Energy Use</t>
  </si>
  <si>
    <t>TOPIC</t>
  </si>
  <si>
    <t>NUMBER</t>
  </si>
  <si>
    <t>RESOURCE</t>
  </si>
  <si>
    <t>Here we consider the electric consume related to an average of bottles sell in the supermarket.</t>
  </si>
  <si>
    <t>SUPERMARKET</t>
  </si>
  <si>
    <t>Consume (MWh/m2 year)</t>
  </si>
  <si>
    <t>0,428</t>
  </si>
  <si>
    <r>
      <t>Taken from the report “</t>
    </r>
    <r>
      <rPr>
        <i/>
        <sz val="11"/>
        <color rgb="FF000000"/>
        <rFont val="Calibri"/>
        <family val="2"/>
        <scheme val="minor"/>
      </rPr>
      <t>Tecnologías de ahorro energético en grandes superficies comerciales</t>
    </r>
    <r>
      <rPr>
        <sz val="11"/>
        <color rgb="FF000000"/>
        <rFont val="Calibri"/>
        <family val="2"/>
        <scheme val="minor"/>
      </rPr>
      <t>”</t>
    </r>
  </si>
  <si>
    <t>(attached in the email, is in Spanish!)</t>
  </si>
  <si>
    <t>Number of bottles 0,75 L/m2</t>
  </si>
  <si>
    <t>Average stay time in the supermarket</t>
  </si>
  <si>
    <t>5 days</t>
  </si>
  <si>
    <t>CALCULATION</t>
  </si>
  <si>
    <t>kWh/botlle = 0,029315068 (consume *1000*average stay time/(365*bot/m2)</t>
  </si>
  <si>
    <r>
      <t>Bottles production</t>
    </r>
    <r>
      <rPr>
        <sz val="11"/>
        <color rgb="FF000000"/>
        <rFont val="Calibri"/>
        <family val="2"/>
        <scheme val="minor"/>
      </rPr>
      <t> * kWh/bottle * electric mix coefficient = Kg CO2</t>
    </r>
  </si>
  <si>
    <t>HOME USE</t>
  </si>
  <si>
    <t>We consider energy used and transport from supermarket at home. Energy is only considered for white wine (1 day in the fridge). For transport we consider the total production of bottles (red and white).</t>
  </si>
  <si>
    <t>Average capacity of the refrigerator:</t>
  </si>
  <si>
    <t>228,5 L </t>
  </si>
  <si>
    <t>calculated as the average of different brands of refrigerators (bosch, siemens, LG…)</t>
  </si>
  <si>
    <t>Consume (kWh/day):</t>
  </si>
  <si>
    <t>0,66</t>
  </si>
  <si>
    <t>Average consume of refrigerator (kWh/year): 242,5 à 242,5/365 days = 0,66</t>
  </si>
  <si>
    <r>
      <t>((</t>
    </r>
    <r>
      <rPr>
        <b/>
        <sz val="11"/>
        <color rgb="FF000000"/>
        <rFont val="Calibri"/>
        <family val="2"/>
        <scheme val="minor"/>
      </rPr>
      <t>White wine volume</t>
    </r>
    <r>
      <rPr>
        <sz val="11"/>
        <color rgb="FF000000"/>
        <rFont val="Calibri"/>
        <family val="2"/>
        <scheme val="minor"/>
      </rPr>
      <t>*kWh/day)/av. capacity)* electric mix coefficient = Kg CO2</t>
    </r>
  </si>
  <si>
    <t>Average:</t>
  </si>
  <si>
    <t>*used emission factor average of all territories</t>
  </si>
  <si>
    <t xml:space="preserve">Winemaking </t>
  </si>
  <si>
    <t>http://www.ipw.co.za/content/pdfs/ghg/eng/International_Wine_Carbon_Calculator_Protocol_V1.2.pdf</t>
  </si>
  <si>
    <t>Cover Cropping</t>
  </si>
  <si>
    <t>Formula: Carbon Soil Increase = [Cropped Hectares (15%*Carbon Content of Crop)]/15 years</t>
  </si>
  <si>
    <t>Formula: CO2mte = Carbon Soil Increase * (44/12)</t>
  </si>
  <si>
    <t>Fermentable Sugar (t) = Average Brix/100 * Crush Size (tons) * 0.907 t/ton</t>
  </si>
  <si>
    <t>Average Brix of 23.3 used for calculations</t>
  </si>
  <si>
    <t>Biomass photosynthesis is approximated as total biomass CO2 emissions minus total CO2 sequestration</t>
  </si>
  <si>
    <t>Sequestration occurs in permanent vine structures, fruit cluster, root biomass and partly into ground via shoot pruning decomposition</t>
  </si>
  <si>
    <t>Part of shoot pruning is also emitted as CO2 via decomposition.</t>
  </si>
  <si>
    <t>CO2 emitted during pruning decomposition and CO2 consumed in carbohydrate reserves make up the biomass CO2 emissions.</t>
  </si>
  <si>
    <t>Since the sugar content of the fruit can be measured, and since the other components are known to occupy a certain percentage of vine, total CO2 can be calculated.</t>
  </si>
  <si>
    <r>
      <t xml:space="preserve">Understanding fermentable sugar equations is the first step: </t>
    </r>
    <r>
      <rPr>
        <b/>
        <sz val="11"/>
        <color theme="1"/>
        <rFont val="Calibri"/>
        <family val="2"/>
        <scheme val="minor"/>
      </rPr>
      <t>Fermentable Sugar (t)</t>
    </r>
    <r>
      <rPr>
        <sz val="11"/>
        <color theme="1"/>
        <rFont val="Calibri"/>
        <family val="2"/>
        <scheme val="minor"/>
      </rPr>
      <t xml:space="preserve"> = Average Brix/100 * Crush Size (ton) * 0.907 t/ton</t>
    </r>
  </si>
  <si>
    <r>
      <rPr>
        <b/>
        <sz val="11"/>
        <color theme="1"/>
        <rFont val="Calibri"/>
        <family val="2"/>
        <scheme val="minor"/>
      </rPr>
      <t>Total CO2 sequestered in sugar production (t CO2)</t>
    </r>
    <r>
      <rPr>
        <sz val="11"/>
        <color theme="1"/>
        <rFont val="Calibri"/>
        <family val="2"/>
        <scheme val="minor"/>
      </rPr>
      <t xml:space="preserve"> = Fermentable Sugar (t) * 1.4375 t CO2/1 t sugar</t>
    </r>
  </si>
  <si>
    <r>
      <rPr>
        <b/>
        <sz val="11"/>
        <color theme="1"/>
        <rFont val="Calibri"/>
        <family val="2"/>
        <scheme val="minor"/>
      </rPr>
      <t>Total CO2 consumed in carbohydrate reserves (starch) production</t>
    </r>
    <r>
      <rPr>
        <sz val="11"/>
        <color theme="1"/>
        <rFont val="Calibri"/>
        <family val="2"/>
        <scheme val="minor"/>
      </rPr>
      <t xml:space="preserve"> = 5.2%/10.6% * Total CO2 sequestered in sugar production</t>
    </r>
  </si>
  <si>
    <t>Portion of CO2 consumed in each Vine Component:</t>
  </si>
  <si>
    <t>Sugar content in grapes</t>
  </si>
  <si>
    <t>Carbohydrate Reserves</t>
  </si>
  <si>
    <t>Permanent Structures</t>
  </si>
  <si>
    <t>Current Shoots and Leaves</t>
  </si>
  <si>
    <t>Cluster Biomass</t>
  </si>
  <si>
    <t>Vine respiration</t>
  </si>
  <si>
    <t>Formulas</t>
  </si>
  <si>
    <r>
      <t xml:space="preserve">Total CO2 Consumed in Current Shoots and Leaves (tons) = </t>
    </r>
    <r>
      <rPr>
        <sz val="11"/>
        <color theme="1"/>
        <rFont val="Calibri"/>
        <family val="2"/>
        <scheme val="minor"/>
      </rPr>
      <t>(19.1%/10.6%) * Total CO2 sequestered in sugar production</t>
    </r>
  </si>
  <si>
    <r>
      <t xml:space="preserve">Pruning Decomposition CO2 Emitted (tons) = </t>
    </r>
    <r>
      <rPr>
        <sz val="11"/>
        <color theme="1"/>
        <rFont val="Calibri"/>
        <family val="2"/>
        <scheme val="minor"/>
      </rPr>
      <t>Total consumed in current shoots and leaves * .55</t>
    </r>
  </si>
  <si>
    <r>
      <t xml:space="preserve">Total CO2 Sequestered in Permanent Structures (tons) = </t>
    </r>
    <r>
      <rPr>
        <sz val="11"/>
        <color theme="1"/>
        <rFont val="Calibri"/>
        <family val="2"/>
        <scheme val="minor"/>
      </rPr>
      <t>Total sequestered in sugar production * (2.3%/10.6%)</t>
    </r>
  </si>
  <si>
    <r>
      <t xml:space="preserve">Total CO2 Sequestered in Biomass Clusters (tons) = </t>
    </r>
    <r>
      <rPr>
        <sz val="11"/>
        <color theme="1"/>
        <rFont val="Calibri"/>
        <family val="2"/>
        <scheme val="minor"/>
      </rPr>
      <t>Total sequestered in sugar production * (12.8%/10.6%)</t>
    </r>
  </si>
  <si>
    <r>
      <t xml:space="preserve">Total CO2 Sequestered in Roots (tons) = </t>
    </r>
    <r>
      <rPr>
        <sz val="11"/>
        <color theme="1"/>
        <rFont val="Calibri"/>
        <family val="2"/>
        <scheme val="minor"/>
      </rPr>
      <t>Total sequestered in Shoots and Leaves + Total sequestered in Permanent Structures + Total Sequestered in Biomass Clusters) * .25 * .48</t>
    </r>
  </si>
  <si>
    <r>
      <t xml:space="preserve">Prunings: Total CO2 Sequestered into Ground (tons) = </t>
    </r>
    <r>
      <rPr>
        <sz val="11"/>
        <color theme="1"/>
        <rFont val="Calibri"/>
        <family val="2"/>
        <scheme val="minor"/>
      </rPr>
      <t>Total CO2 consumed in shoots and leaves * .45</t>
    </r>
  </si>
  <si>
    <r>
      <t xml:space="preserve">Total Biomass CO2 Emissions (tons) = </t>
    </r>
    <r>
      <rPr>
        <sz val="11"/>
        <color theme="1"/>
        <rFont val="Calibri"/>
        <family val="2"/>
        <scheme val="minor"/>
      </rPr>
      <t>Total CO2 consumed in Carbohydrate Reserves + Pruning Decomposition CO2 emitted</t>
    </r>
  </si>
  <si>
    <r>
      <t xml:space="preserve">Total CO2 Sequestration (tons) = </t>
    </r>
    <r>
      <rPr>
        <sz val="11"/>
        <color theme="1"/>
        <rFont val="Calibri"/>
        <family val="2"/>
        <scheme val="minor"/>
      </rPr>
      <t>Total sequestration of Permanent Structures + Biomass Clusters + Roots + Ground</t>
    </r>
  </si>
  <si>
    <r>
      <t xml:space="preserve">Total CO2 Balance (tons) = </t>
    </r>
    <r>
      <rPr>
        <sz val="11"/>
        <color theme="1"/>
        <rFont val="Calibri"/>
        <family val="2"/>
        <scheme val="minor"/>
      </rPr>
      <t>Total Emissions - Total Sequestration</t>
    </r>
  </si>
  <si>
    <t>"Emissions factors for compost application from Dr. Jeff Creque of the Marin Carbon Project, which account for the molecular weight of C vs CO2, as well as the impacts of tillage in releasing soil C. He says it’s a sound model to use in lieu of taking actual soil samples." - Julien Gervreau</t>
  </si>
  <si>
    <t xml:space="preserve">Assumptions: </t>
  </si>
  <si>
    <t xml:space="preserve"> - 25% C content assumption for compost is a reasonable low estimate as a general rule of thumb per Carbon Cycle Institute, but use lab analyses if available for site specific carbon content in compost. </t>
  </si>
  <si>
    <t xml:space="preserve"> - Typical compost organic matter content is 30-50%</t>
  </si>
  <si>
    <t xml:space="preserve"> - Assumes that the mass of 1 Ton of Carbon = 3.67 Tons of CO2, based on molecular weight (see EIA link below)</t>
  </si>
  <si>
    <t xml:space="preserve"> - Assumes that 1 US ton = .907 Metric ton</t>
  </si>
  <si>
    <t xml:space="preserve"> - Assumes no losses, which is reasonable if there is no tillage</t>
  </si>
  <si>
    <t xml:space="preserve"> - If alternate row tillage, assume 50% loss of added compost C each year</t>
  </si>
  <si>
    <t>Farm Team Questions</t>
  </si>
  <si>
    <t>vineyards on the south coast would otherwise be deserts - isn't planting vineyards a net carbon sink?</t>
  </si>
  <si>
    <t>incorporate cover crops into the models</t>
  </si>
  <si>
    <t>best time to mix biochar into compost? - as early as possible</t>
  </si>
  <si>
    <t>biochar - need biological assessement of trees</t>
  </si>
  <si>
    <t xml:space="preserve">Links: </t>
  </si>
  <si>
    <t>https://www.eia.gov/tools/faqs/faq.php?id=82&amp;t=11</t>
  </si>
  <si>
    <t>Sub-Category</t>
  </si>
  <si>
    <t>ecoinvent 3.9 Database</t>
  </si>
  <si>
    <t>kgCO2-Eq/kg</t>
  </si>
  <si>
    <t>Purchased municipal water*</t>
  </si>
  <si>
    <t>market for tap water (RoW) (ecoinvent 3.9)</t>
  </si>
  <si>
    <t>* "This activity ends with 1 kg of water at consumer (industrial or household). This dataset includes: - the distribution network - water losses during transmission. This dataset doesn't include - energy used during distribution for additional pressure"</t>
  </si>
  <si>
    <t>Ecoinvent 3.9.1 Database search</t>
  </si>
  <si>
    <t>board, softwood, raw, air drying to u=20% ()</t>
  </si>
  <si>
    <t>Ecoinvent 3.9.1 Database Emissions Factor</t>
  </si>
  <si>
    <r>
      <t>Conversion to kgCO2-Eq/m</t>
    </r>
    <r>
      <rPr>
        <b/>
        <vertAlign val="superscript"/>
        <sz val="11"/>
        <color theme="1"/>
        <rFont val="Calibri"/>
        <family val="2"/>
        <scheme val="minor"/>
      </rPr>
      <t>3</t>
    </r>
    <r>
      <rPr>
        <b/>
        <sz val="11"/>
        <color theme="1"/>
        <rFont val="Calibri"/>
        <family val="2"/>
        <scheme val="minor"/>
      </rPr>
      <t xml:space="preserve"> raw biomass (wood only, no bark)</t>
    </r>
  </si>
  <si>
    <r>
      <t xml:space="preserve">= 24.503 </t>
    </r>
    <r>
      <rPr>
        <sz val="11"/>
        <color theme="1"/>
        <rFont val="Calibri"/>
        <family val="2"/>
        <scheme val="minor"/>
      </rPr>
      <t>kgCO2-Eq/1.04 m3 sawnwood, softwood</t>
    </r>
  </si>
  <si>
    <t>Conversion to kgCO2-Eq/kg board</t>
  </si>
  <si>
    <t>Conversion to kgCO2-Eq/kg raw biomass (wood only, no bark)</t>
  </si>
  <si>
    <t>Additional Data and Conversion Factors from the 2020 FAO/International Tropical Timber Organization/UN report "Forest product conversion factors" (https://www.fao.org/documents/card/en/c/ca7952en):</t>
  </si>
  <si>
    <r>
      <t xml:space="preserve">* </t>
    </r>
    <r>
      <rPr>
        <sz val="11"/>
        <color theme="1"/>
        <rFont val="Calibri"/>
        <family val="2"/>
        <scheme val="minor"/>
      </rPr>
      <t>Radiata Pine is used as the best estimate for softwood, as it is Australia's predominant softwood species for industrial plantations (https://www.agriculture.gov.au/abares/forestsaustralia/profiles/industrial-plantations). 12% moisture content seasoned sawn softwood timber is used as the best estimate for 20% moisture content raw softwood board. The 545 kg/m</t>
    </r>
    <r>
      <rPr>
        <vertAlign val="superscript"/>
        <sz val="11"/>
        <color theme="1"/>
        <rFont val="Calibri"/>
        <family val="2"/>
        <scheme val="minor"/>
      </rPr>
      <t xml:space="preserve">3 </t>
    </r>
    <r>
      <rPr>
        <sz val="11"/>
        <color theme="1"/>
        <rFont val="Calibri"/>
        <family val="2"/>
        <scheme val="minor"/>
      </rPr>
      <t>value is a December 2018 Queensland Government estimate for Australian Radiata Pine (https://www.business.qld.gov.au/industries/farms-fishing-forestry/forests-wood/properties-timbers/radiata-pine). This estimate is within range of a September 2020 estimate provided by the Government of Western Australia Forest Products Commission (480-590 kg/m</t>
    </r>
    <r>
      <rPr>
        <vertAlign val="superscript"/>
        <sz val="11"/>
        <color theme="1"/>
        <rFont val="Calibri"/>
        <family val="2"/>
        <scheme val="minor"/>
      </rPr>
      <t>3</t>
    </r>
    <r>
      <rPr>
        <sz val="11"/>
        <color theme="1"/>
        <rFont val="Calibri"/>
        <family val="2"/>
        <scheme val="minor"/>
      </rPr>
      <t>) for air-dried Radiata Pine (https://www.wa.gov.au/system/files/2020-09/FPC-species-information.pdf).</t>
    </r>
  </si>
  <si>
    <t>Crop Protection Materials</t>
  </si>
  <si>
    <t>Material name</t>
  </si>
  <si>
    <t>ecoinvent 3.9 Database search</t>
  </si>
  <si>
    <t>kgCO2e/kg</t>
  </si>
  <si>
    <t>Mancozeb production (RoW)</t>
  </si>
  <si>
    <t>Sulfur  production, petroleum refinery operation (RoW)</t>
  </si>
  <si>
    <t>Copper oxide production (RoW)</t>
  </si>
  <si>
    <t>folpet production, RoW</t>
  </si>
  <si>
    <t>fosetyl-Al production, RoW</t>
  </si>
  <si>
    <t>nutrient supply from potassium sulfate, RoW</t>
  </si>
  <si>
    <t>boric acid production, anhydrous, powder (RoW)</t>
  </si>
  <si>
    <t>glyphosate production, RoW</t>
  </si>
  <si>
    <t>pesticide production, unspecified, RoW</t>
  </si>
  <si>
    <t>GLO/RoW ecoinvent 3.9.1</t>
  </si>
  <si>
    <t>kgCO2e/kg2</t>
  </si>
  <si>
    <t>STEEL</t>
  </si>
  <si>
    <t>chromium steel milling, average (RoW)</t>
  </si>
  <si>
    <t>STEEL WOOD</t>
  </si>
  <si>
    <t>WOOD</t>
  </si>
  <si>
    <t>beam, hardwood, raw, air drying to u=20% (RoW)</t>
  </si>
  <si>
    <t>WOOD TREATMENT</t>
  </si>
  <si>
    <t>copper oxide production (GLO)</t>
  </si>
  <si>
    <t>CONCRETE</t>
  </si>
  <si>
    <t>concrete block production (RoW)</t>
  </si>
  <si>
    <t>EF source</t>
  </si>
  <si>
    <t>kgCO2-E/ton</t>
  </si>
  <si>
    <t>GRANITE</t>
  </si>
  <si>
    <t>Greenhouse_Gases_and_Energy_intensity_of_Granite_R (2019)</t>
  </si>
  <si>
    <t>Item</t>
  </si>
  <si>
    <t>ethanol production from whey</t>
  </si>
  <si>
    <t>activated bentonite production</t>
  </si>
  <si>
    <t>ECOINVENT 3.9 RoW/GLO</t>
  </si>
  <si>
    <t>O2</t>
  </si>
  <si>
    <t>market for oxygen, liquid</t>
  </si>
  <si>
    <t>ALIGAL 3</t>
  </si>
  <si>
    <t>C2H2</t>
  </si>
  <si>
    <t>acetylene produiction (RoW)</t>
  </si>
  <si>
    <t>argon production, liquid (RoW)</t>
  </si>
  <si>
    <t>hydrogen production, gaseous, petroleum refinery operation</t>
  </si>
  <si>
    <t>SO2</t>
  </si>
  <si>
    <t>sulfur dioxide production, liquid</t>
  </si>
  <si>
    <t>HE</t>
  </si>
  <si>
    <t>market for helium (GLO)</t>
  </si>
  <si>
    <t>N</t>
  </si>
  <si>
    <t>market for nitrogen, liquid (RoW)</t>
  </si>
  <si>
    <t>NH3</t>
  </si>
  <si>
    <t>ammonia production, steam reforming, liquid (RoW)</t>
  </si>
  <si>
    <t>Synthetic Air</t>
  </si>
  <si>
    <t>compressed air production, 1000 kPa gauge, &lt;30kW, average generation</t>
  </si>
  <si>
    <t>Water purification products</t>
  </si>
  <si>
    <t>Formic acid</t>
  </si>
  <si>
    <t>formic acid production, methyl formate route (RoW)</t>
  </si>
  <si>
    <t>Defoamer (silicone)</t>
  </si>
  <si>
    <t>silicone product production (RoW)</t>
  </si>
  <si>
    <t>Ammonium chloride</t>
  </si>
  <si>
    <t>ammonium chloride production (GLO)</t>
  </si>
  <si>
    <t>Diammonium phosphate</t>
  </si>
  <si>
    <t>diammonium phosphate production (RoW)</t>
  </si>
  <si>
    <t>Trisodium phosphate</t>
  </si>
  <si>
    <t>sodium phosphate production (RoW)</t>
  </si>
  <si>
    <t>Aluminum polychloride</t>
  </si>
  <si>
    <t>aluminium hydroxide production (RoW)</t>
  </si>
  <si>
    <t>electrolyte production, KOH, LiOH additive (GLO)</t>
  </si>
  <si>
    <t>Caustic potash</t>
  </si>
  <si>
    <t>potassium hydroxide production (RoW)</t>
  </si>
  <si>
    <t>Caustic soda</t>
  </si>
  <si>
    <t>sodium hydroxide to generic market for neutralising agent (GLO)</t>
  </si>
  <si>
    <t>Hydrochloric Acid</t>
  </si>
  <si>
    <t>hydrochloric acid production, from the reaction of hydrogen with chlorine (RoW)</t>
  </si>
  <si>
    <t>hydrogen peroxide production, product in 50% solution state (RoW)</t>
  </si>
  <si>
    <t>Sodium hypochlorite</t>
  </si>
  <si>
    <t>sodium hypochlorite production, product in 15% solution state (RoW)</t>
  </si>
  <si>
    <t>chlorine dioxide production (RoW)</t>
  </si>
  <si>
    <t>Sodium chloride</t>
  </si>
  <si>
    <t>sodium chloride production, brine solution (RoW)</t>
  </si>
  <si>
    <t>urea production (RoW)</t>
  </si>
  <si>
    <t>Common name</t>
  </si>
  <si>
    <t>Formula</t>
  </si>
  <si>
    <t>Global Warming Potential Values (100 year time horizon)</t>
  </si>
  <si>
    <t>CH4</t>
  </si>
  <si>
    <t>Nitrous Oxide</t>
  </si>
  <si>
    <t>N2O</t>
  </si>
  <si>
    <t>Table 4 Direct (Scope 1) emission factors for the consumption of gaseous fuels including liquefied natural gas</t>
  </si>
  <si>
    <t>Energy Content factor</t>
  </si>
  <si>
    <t>Scope 1 Emission Factor</t>
  </si>
  <si>
    <r>
      <t xml:space="preserve">(GJ/m3 </t>
    </r>
    <r>
      <rPr>
        <b/>
        <sz val="9"/>
        <color theme="1"/>
        <rFont val="Calibri"/>
        <family val="2"/>
        <scheme val="minor"/>
      </rPr>
      <t>unless otherwise indicated)</t>
    </r>
  </si>
  <si>
    <r>
      <t>(kg CO</t>
    </r>
    <r>
      <rPr>
        <b/>
        <vertAlign val="subscript"/>
        <sz val="11"/>
        <color theme="1"/>
        <rFont val="Calibri"/>
        <family val="2"/>
        <scheme val="minor"/>
      </rPr>
      <t>2</t>
    </r>
    <r>
      <rPr>
        <b/>
        <sz val="11"/>
        <color theme="1"/>
        <rFont val="Calibri"/>
        <family val="2"/>
        <scheme val="minor"/>
      </rPr>
      <t>‑e/GJ)</t>
    </r>
  </si>
  <si>
    <r>
      <t>CO</t>
    </r>
    <r>
      <rPr>
        <b/>
        <vertAlign val="subscript"/>
        <sz val="11"/>
        <color theme="1"/>
        <rFont val="Calibri"/>
        <family val="2"/>
        <scheme val="minor"/>
      </rPr>
      <t>2</t>
    </r>
  </si>
  <si>
    <r>
      <t>CH</t>
    </r>
    <r>
      <rPr>
        <b/>
        <vertAlign val="subscript"/>
        <sz val="11"/>
        <color theme="1"/>
        <rFont val="Calibri"/>
        <family val="2"/>
        <scheme val="minor"/>
      </rPr>
      <t>4</t>
    </r>
  </si>
  <si>
    <r>
      <t>N</t>
    </r>
    <r>
      <rPr>
        <b/>
        <vertAlign val="subscript"/>
        <sz val="11"/>
        <color theme="1"/>
        <rFont val="Calibri"/>
        <family val="2"/>
        <scheme val="minor"/>
      </rPr>
      <t>2</t>
    </r>
    <r>
      <rPr>
        <b/>
        <sz val="11"/>
        <color theme="1"/>
        <rFont val="Calibri"/>
        <family val="2"/>
        <scheme val="minor"/>
      </rPr>
      <t>O</t>
    </r>
  </si>
  <si>
    <t>Combined gases</t>
  </si>
  <si>
    <t>Ethane</t>
  </si>
  <si>
    <t>Town gas</t>
  </si>
  <si>
    <t>A biogas that is captured for combustion, other than those mentioned in the items above</t>
  </si>
  <si>
    <t>Biomethane</t>
  </si>
  <si>
    <t>Table 3 Direct (scope 1) and Indirect (scope 3) emission factors for the combustion of solid fuels - including certain coal based products</t>
  </si>
  <si>
    <t>Scope 3 Emission Factor</t>
  </si>
  <si>
    <t>(GJ/t)</t>
  </si>
  <si>
    <r>
      <t>(kg CO</t>
    </r>
    <r>
      <rPr>
        <b/>
        <vertAlign val="subscript"/>
        <sz val="11"/>
        <color theme="1"/>
        <rFont val="Calibri"/>
        <family val="2"/>
        <scheme val="minor"/>
      </rPr>
      <t>2</t>
    </r>
    <r>
      <rPr>
        <b/>
        <sz val="11"/>
        <color theme="1"/>
        <rFont val="Calibri"/>
        <family val="2"/>
        <scheme val="minor"/>
      </rPr>
      <t>‑e /GJ)</t>
    </r>
  </si>
  <si>
    <t>Sub-bituminous coal</t>
  </si>
  <si>
    <t>Anthracite</t>
  </si>
  <si>
    <t>Brown coal (lignite)</t>
  </si>
  <si>
    <t>Industrial materials that are derived from fossil fuels, if recycled and combusted to produce heat or electricity</t>
  </si>
  <si>
    <t xml:space="preserve">Passenger car tyres, if recycled and combusted to produce heat or electricity </t>
  </si>
  <si>
    <t xml:space="preserve">Truck and off-road tyres, if recycled and combusted to produce heat or electricity </t>
  </si>
  <si>
    <t xml:space="preserve">Sulphite lyes </t>
  </si>
  <si>
    <t>Table 5 Indirect (Scope 3) emission factors for the consumption of natural gas</t>
  </si>
  <si>
    <r>
      <t>Scope 3 Emission Factors for Natural Gas (kg CO</t>
    </r>
    <r>
      <rPr>
        <b/>
        <vertAlign val="subscript"/>
        <sz val="11"/>
        <color theme="1"/>
        <rFont val="Calibri"/>
        <family val="2"/>
        <scheme val="minor"/>
      </rPr>
      <t>2</t>
    </r>
    <r>
      <rPr>
        <b/>
        <sz val="11"/>
        <color theme="1"/>
        <rFont val="Calibri"/>
        <family val="2"/>
        <scheme val="minor"/>
      </rPr>
      <t>-e/GJ)</t>
    </r>
  </si>
  <si>
    <t>Non-Metro</t>
  </si>
  <si>
    <t>Table 6 Indirect (Scope 3) emission factors for the consumption of ethane</t>
  </si>
  <si>
    <t>Ethane produced in accordance with Division 23 of Part 3 of the Clean Energy Regulations 2011</t>
  </si>
  <si>
    <r>
      <t>Scope 3 Emission Factors for Ethane (kg CO</t>
    </r>
    <r>
      <rPr>
        <b/>
        <vertAlign val="subscript"/>
        <sz val="11"/>
        <color theme="1"/>
        <rFont val="Calibri"/>
        <family val="2"/>
        <scheme val="minor"/>
      </rPr>
      <t>2</t>
    </r>
    <r>
      <rPr>
        <b/>
        <sz val="11"/>
        <color theme="1"/>
        <rFont val="Calibri"/>
        <family val="2"/>
        <scheme val="minor"/>
      </rPr>
      <t>-e /GJ)</t>
    </r>
  </si>
  <si>
    <t>New South Wales</t>
  </si>
  <si>
    <t>Table 7 Direct (Scope 1) and indirect (scope 3) emission factors for the consumption of liquid fuels, including certain petroleum based products for stationary energy purposes</t>
  </si>
  <si>
    <t>(GJ per unit of fuel)</t>
  </si>
  <si>
    <t>Petroleum based oils (other than petroleum based oil used as fuel), e.g. lubricants</t>
  </si>
  <si>
    <r>
      <t xml:space="preserve">38.8 </t>
    </r>
    <r>
      <rPr>
        <b/>
        <sz val="11"/>
        <color theme="1"/>
        <rFont val="Calibri"/>
        <family val="2"/>
        <scheme val="minor"/>
      </rPr>
      <t>GJ/kL</t>
    </r>
  </si>
  <si>
    <t>Other natural gas liquids</t>
  </si>
  <si>
    <r>
      <t xml:space="preserve">37.5 </t>
    </r>
    <r>
      <rPr>
        <b/>
        <sz val="11"/>
        <color theme="1"/>
        <rFont val="Calibri"/>
        <family val="2"/>
        <scheme val="minor"/>
      </rPr>
      <t>GJ/kL</t>
    </r>
  </si>
  <si>
    <r>
      <t xml:space="preserve">37.3 </t>
    </r>
    <r>
      <rPr>
        <b/>
        <sz val="11"/>
        <color theme="1"/>
        <rFont val="Calibri"/>
        <family val="2"/>
        <scheme val="minor"/>
      </rPr>
      <t>GJ/kL</t>
    </r>
  </si>
  <si>
    <r>
      <t xml:space="preserve">39.7 </t>
    </r>
    <r>
      <rPr>
        <b/>
        <sz val="11"/>
        <color theme="1"/>
        <rFont val="Calibri"/>
        <family val="2"/>
        <scheme val="minor"/>
      </rPr>
      <t>GJ/kL</t>
    </r>
  </si>
  <si>
    <r>
      <t xml:space="preserve">34.4 </t>
    </r>
    <r>
      <rPr>
        <b/>
        <sz val="11"/>
        <color theme="1"/>
        <rFont val="Calibri"/>
        <family val="2"/>
        <scheme val="minor"/>
      </rPr>
      <t>GJ/kL</t>
    </r>
  </si>
  <si>
    <r>
      <t xml:space="preserve">31.4 </t>
    </r>
    <r>
      <rPr>
        <b/>
        <sz val="11"/>
        <color theme="1"/>
        <rFont val="Calibri"/>
        <family val="2"/>
        <scheme val="minor"/>
      </rPr>
      <t>GJ/kL</t>
    </r>
  </si>
  <si>
    <t>Biodiesel</t>
  </si>
  <si>
    <r>
      <t xml:space="preserve">34.6 </t>
    </r>
    <r>
      <rPr>
        <b/>
        <sz val="11"/>
        <color theme="1"/>
        <rFont val="Calibri"/>
        <family val="2"/>
        <scheme val="minor"/>
      </rPr>
      <t>GJ/kL</t>
    </r>
  </si>
  <si>
    <r>
      <t xml:space="preserve">23.4 </t>
    </r>
    <r>
      <rPr>
        <b/>
        <sz val="11"/>
        <color theme="1"/>
        <rFont val="Calibri"/>
        <family val="2"/>
        <scheme val="minor"/>
      </rPr>
      <t>GJ/kL</t>
    </r>
  </si>
  <si>
    <t>Biofuels other than those mentioned in the items above and below</t>
  </si>
  <si>
    <t>Renewable aviation kerosene</t>
  </si>
  <si>
    <t>36.8 GJ/kL</t>
  </si>
  <si>
    <t>Renewable diesel</t>
  </si>
  <si>
    <t>38.6 GJ/kL</t>
  </si>
  <si>
    <t>Aviation gasoline (GJ/kL)</t>
  </si>
  <si>
    <r>
      <t>Automotive gasoline/petrol (other than for use as fuel in an aircraft) (</t>
    </r>
    <r>
      <rPr>
        <b/>
        <sz val="11"/>
        <color theme="1"/>
        <rFont val="Calibri"/>
        <family val="2"/>
        <scheme val="minor"/>
      </rPr>
      <t>GJ/kL)</t>
    </r>
  </si>
  <si>
    <t>Table 1 Indirect (scope 2 and scope 3) emission factors from consumption of purchased or acquired electricity: Location based approach</t>
  </si>
  <si>
    <t>State, Territory or grid description</t>
  </si>
  <si>
    <t>Scope 2 Emission Factors</t>
  </si>
  <si>
    <t>Scope 3 Emission Factors</t>
  </si>
  <si>
    <r>
      <t>(kg CO</t>
    </r>
    <r>
      <rPr>
        <b/>
        <vertAlign val="subscript"/>
        <sz val="11"/>
        <color theme="1"/>
        <rFont val="Calibri"/>
        <family val="2"/>
        <scheme val="minor"/>
      </rPr>
      <t>2</t>
    </r>
    <r>
      <rPr>
        <b/>
        <sz val="11"/>
        <color theme="1"/>
        <rFont val="Calibri"/>
        <family val="2"/>
        <scheme val="minor"/>
      </rPr>
      <t>-e/kWh)</t>
    </r>
  </si>
  <si>
    <r>
      <t>(kg CO</t>
    </r>
    <r>
      <rPr>
        <b/>
        <vertAlign val="subscript"/>
        <sz val="11"/>
        <color theme="1"/>
        <rFont val="Calibri"/>
        <family val="2"/>
        <scheme val="minor"/>
      </rPr>
      <t>2</t>
    </r>
    <r>
      <rPr>
        <b/>
        <sz val="11"/>
        <color theme="1"/>
        <rFont val="Calibri"/>
        <family val="2"/>
        <scheme val="minor"/>
      </rPr>
      <t>-e/GJ)</t>
    </r>
  </si>
  <si>
    <t>New South Wales and Australian Capital Territory</t>
  </si>
  <si>
    <t>Western Australia -</t>
  </si>
  <si>
    <t>South West Interconnected System (SWIS)</t>
  </si>
  <si>
    <t>Western Australia - North Western Interconnected System (NWIS)</t>
  </si>
  <si>
    <t>Northern territory -</t>
  </si>
  <si>
    <t xml:space="preserve">Darwin Katherine Interconnected System (DKIS) </t>
  </si>
  <si>
    <t xml:space="preserve">National </t>
  </si>
  <si>
    <t>Table 1a Indirect (scope 2 and scope 3) emission factors from consumption of purchased or acquired electricity: market-based factors</t>
  </si>
  <si>
    <t>Residual Mix Factor for the market-based method</t>
  </si>
  <si>
    <t>National</t>
  </si>
  <si>
    <t>Table 2: Indirect (scope 2) emission factors for electricity grids</t>
  </si>
  <si>
    <t xml:space="preserve">Western Australia - </t>
  </si>
  <si>
    <t>Darwin Katherine Interconnected System (DKIS)</t>
  </si>
  <si>
    <t>Outlined in the 2021 UK BEIS</t>
  </si>
  <si>
    <t>Large RoPax ferry</t>
  </si>
  <si>
    <t>Fuel type</t>
  </si>
  <si>
    <t>AUD$/gal (nation-wide)</t>
  </si>
  <si>
    <t>Total CO2e 
(metric ton)</t>
  </si>
  <si>
    <t>Total CH4 CO2e 
(metric ton)</t>
  </si>
  <si>
    <t>Total N2O CO2e 
(metric ton)</t>
  </si>
  <si>
    <t>TOTAL</t>
  </si>
  <si>
    <t>Vehicle type</t>
  </si>
  <si>
    <t>Passenger vehicles</t>
  </si>
  <si>
    <t>Total Petrol
(kL)</t>
  </si>
  <si>
    <t>Fuel economy (MPG)</t>
  </si>
  <si>
    <t>Fuel economy (kmpL)</t>
  </si>
  <si>
    <t>Light duty trucks</t>
  </si>
  <si>
    <t>Heavy duty trucks</t>
  </si>
  <si>
    <t>https://ghgprotocol.org/calculation-tools#cross_sector_tools_id</t>
  </si>
  <si>
    <r>
      <t xml:space="preserve">Diesel oil </t>
    </r>
    <r>
      <rPr>
        <b/>
        <sz val="11"/>
        <color theme="1"/>
        <rFont val="Calibri"/>
        <family val="2"/>
        <scheme val="minor"/>
      </rPr>
      <t>(GJ/kL)</t>
    </r>
  </si>
  <si>
    <t>Total Diesel
(kL)</t>
  </si>
  <si>
    <r>
      <t xml:space="preserve">Liquefied petroleum gas (LPG) </t>
    </r>
    <r>
      <rPr>
        <b/>
        <sz val="11"/>
        <color theme="1"/>
        <rFont val="Calibri"/>
        <family val="2"/>
        <scheme val="minor"/>
      </rPr>
      <t>(GJ/kL)</t>
    </r>
  </si>
  <si>
    <t>Total CO2e
(tons)  - Market</t>
  </si>
  <si>
    <t>Total CO2e
(tons)  - Location</t>
  </si>
  <si>
    <t xml:space="preserve">Utilizing New Zealand's emission factors as AUS does not provide emissions factors on a per ton km basis. AUS provides emissions factors on a GJ/kL basis which would require knowing the fuel type and efficiency for each mode of transportation. </t>
  </si>
  <si>
    <t>ton.km</t>
  </si>
  <si>
    <t>*carbon content equals 50 tons per hectare of row crops</t>
  </si>
  <si>
    <t>LPG (kL)</t>
  </si>
  <si>
    <t>Aviation turbine fuel/kerosene (GJ/kL)</t>
  </si>
  <si>
    <t>Helicopter upstream emission factor</t>
  </si>
  <si>
    <t xml:space="preserve">* The Upstream Emission Factor is the same as that used for aviation fuel. If there is a more accurate emission factor, please replace the multiplier of 'Emission Factors'!$F$40 in Column E with your own. </t>
  </si>
  <si>
    <r>
      <t>Upstream Emission Factor
(kg CO2e/liter)</t>
    </r>
    <r>
      <rPr>
        <b/>
        <sz val="9"/>
        <color rgb="FFFF0000"/>
        <rFont val="Calibri"/>
        <family val="2"/>
        <scheme val="minor"/>
      </rPr>
      <t>*</t>
    </r>
  </si>
  <si>
    <t>Petrol (kL)</t>
  </si>
  <si>
    <t>Biomass 
(metric ton)</t>
  </si>
  <si>
    <t>Cropland</t>
  </si>
  <si>
    <t>Emissions Factor
metric tons CO2/ha)</t>
  </si>
  <si>
    <t xml:space="preserve">Location-Based Emissions Rates </t>
  </si>
  <si>
    <t>Emission Factor Recycled Glass Bottles
(CO2mte/short ton)</t>
  </si>
  <si>
    <t>Emission Factor Virgin Glass Bottles
(CO2mte/short ton)</t>
  </si>
  <si>
    <t>Mass (kg)</t>
  </si>
  <si>
    <r>
      <t>Total CO</t>
    </r>
    <r>
      <rPr>
        <b/>
        <vertAlign val="subscript"/>
        <sz val="12"/>
        <rFont val="Calibri"/>
        <family val="2"/>
        <scheme val="minor"/>
      </rPr>
      <t>2</t>
    </r>
    <r>
      <rPr>
        <b/>
        <sz val="12"/>
        <rFont val="Calibri"/>
        <family val="2"/>
        <scheme val="minor"/>
      </rPr>
      <t>e
(metric tons)</t>
    </r>
  </si>
  <si>
    <t>Cardboard</t>
  </si>
  <si>
    <t>Aluminum</t>
  </si>
  <si>
    <t>Plastic</t>
  </si>
  <si>
    <t>ecoinvent 3.9.1 IPCC 2021 GWP100 value name</t>
  </si>
  <si>
    <t>EF (kg CO2e/kg unit)</t>
  </si>
  <si>
    <t>https://ecoquery.ecoinvent.org/3.9.1/cutoff/dataset/25334/impact_assessment</t>
  </si>
  <si>
    <t>aluminium production, primary, ingot (RoW)</t>
  </si>
  <si>
    <t>https://ecoquery.ecoinvent.org/3.9.1/cutoff/dataset/11662/impact_assessment</t>
  </si>
  <si>
    <t>polycarbonate production (RoW)</t>
  </si>
  <si>
    <t>https://ecoquery.ecoinvent.org/3.9.1/cutoff/dataset/640/impact_assessment</t>
  </si>
  <si>
    <t>https://www.ipw.co.za/content/pdfs/ghg/eng/International_Wine_Carbon_Calculator_Protocol_V1.2.pdf</t>
  </si>
  <si>
    <t>corrugated board box production (RoW)</t>
  </si>
  <si>
    <t>Do one or the other, not both, to avoid double counting</t>
  </si>
  <si>
    <t>Note: wine bag in box above accounts for all packaging materials (bag, closure, and cardboard box)</t>
  </si>
  <si>
    <r>
      <t xml:space="preserve">** For "wine bag in box," use the line in the table above if you do not have masses of cardboard, aluminum, and plastic bags. If you </t>
    </r>
    <r>
      <rPr>
        <b/>
        <i/>
        <sz val="16"/>
        <color rgb="FFFF0000"/>
        <rFont val="Calibri"/>
        <family val="2"/>
        <scheme val="minor"/>
      </rPr>
      <t>do</t>
    </r>
    <r>
      <rPr>
        <b/>
        <sz val="16"/>
        <color rgb="FFFF0000"/>
        <rFont val="Calibri"/>
        <family val="2"/>
        <scheme val="minor"/>
      </rPr>
      <t xml:space="preserve"> have this data on hand, use the below table methodology for a more accurate calculation.</t>
    </r>
  </si>
  <si>
    <t>Total CO2e
(metric tons)</t>
  </si>
  <si>
    <t>Gas purchased (metric tons)</t>
  </si>
  <si>
    <t>Purchased Amount (metric tons)</t>
  </si>
  <si>
    <t>Emission Factor 
(CO2 metric tons/metric tons)</t>
  </si>
  <si>
    <t>Additive Purchased
(metric tons)</t>
  </si>
  <si>
    <t>Emission Factor Recycled 
(CO2 metric tons / ton)</t>
  </si>
  <si>
    <t>Emission Factor Virgin 
(CO2 metric tons / ton)</t>
  </si>
  <si>
    <t>Purchased Grapes 
(metric tons)</t>
  </si>
  <si>
    <t>Input emission factor from Table 1 in the same row as active ingredient type</t>
  </si>
  <si>
    <t>Table 1: Emission factors for crop protection materials</t>
  </si>
  <si>
    <t>Table 2: Emission factors for trellising</t>
  </si>
  <si>
    <t>ECOINVENT 3.9 Emissions Factor (kgCO2e/kg material)</t>
  </si>
  <si>
    <t>Units</t>
  </si>
  <si>
    <t>kgCO2-Eq/m3</t>
  </si>
  <si>
    <t xml:space="preserve"> kgCO2-Eq/kg</t>
  </si>
  <si>
    <t>Natural Gas (AUD)</t>
  </si>
  <si>
    <t>Diesel (AUD spent)</t>
  </si>
  <si>
    <t>Petrol (AUD spent)</t>
  </si>
  <si>
    <t>Dollars Spent
(AUD)</t>
  </si>
  <si>
    <t>Average AUD diesel price is AUD $1.79/L (https://www.globalpetrolprices.com/Australia/diesel_prices/)</t>
  </si>
  <si>
    <t>Total CH4 Emissions 
(metric ton CO2e)</t>
  </si>
  <si>
    <t>Total N2O Emissions
(metric ton CO2e)</t>
  </si>
  <si>
    <t>Total CO2 Emissions (metric ton CO2e)</t>
  </si>
  <si>
    <t>Total Metric Ton Kilometers
(mt.km)</t>
  </si>
  <si>
    <t>International Waterborne Freight</t>
  </si>
  <si>
    <r>
      <t>CO</t>
    </r>
    <r>
      <rPr>
        <vertAlign val="subscript"/>
        <sz val="12"/>
        <color theme="1"/>
        <rFont val="Calibri"/>
        <family val="2"/>
        <scheme val="minor"/>
      </rPr>
      <t>2</t>
    </r>
    <r>
      <rPr>
        <sz val="12"/>
        <color theme="1"/>
        <rFont val="Calibri"/>
        <family val="2"/>
        <scheme val="minor"/>
      </rPr>
      <t xml:space="preserve"> Emissions
(metric tons)</t>
    </r>
  </si>
  <si>
    <t>CH4 Emissions
(metric tons)</t>
  </si>
  <si>
    <t>N2O Emissions
(metric tons)</t>
  </si>
  <si>
    <t>CO2 emissions
(metric tons)</t>
  </si>
  <si>
    <t>Table 15 Indirect (scope 3) waste emission factors for total waste disposed to landfill by broad waste stream category</t>
  </si>
  <si>
    <t>Waste stream</t>
  </si>
  <si>
    <r>
      <t>Scope 3 emission factor (t CO</t>
    </r>
    <r>
      <rPr>
        <b/>
        <vertAlign val="subscript"/>
        <sz val="11"/>
        <color theme="1"/>
        <rFont val="Calibri"/>
        <family val="2"/>
        <scheme val="minor"/>
      </rPr>
      <t>2</t>
    </r>
    <r>
      <rPr>
        <b/>
        <sz val="11"/>
        <color theme="1"/>
        <rFont val="Calibri"/>
        <family val="2"/>
        <scheme val="minor"/>
      </rPr>
      <t>-e/t)</t>
    </r>
  </si>
  <si>
    <r>
      <t>Volume to mass conversion factor (t/m</t>
    </r>
    <r>
      <rPr>
        <b/>
        <vertAlign val="superscript"/>
        <sz val="11"/>
        <color theme="1"/>
        <rFont val="Calibri"/>
        <family val="2"/>
        <scheme val="minor"/>
      </rPr>
      <t>3</t>
    </r>
    <r>
      <rPr>
        <b/>
        <sz val="11"/>
        <color theme="1"/>
        <rFont val="Calibri"/>
        <family val="2"/>
        <scheme val="minor"/>
      </rPr>
      <t>)</t>
    </r>
  </si>
  <si>
    <t>Table 14 Waste mix methane conversion factors and emission factors</t>
  </si>
  <si>
    <t>Food</t>
  </si>
  <si>
    <t>Paper and cardboard</t>
  </si>
  <si>
    <t>Garden and green</t>
  </si>
  <si>
    <t>Textiles</t>
  </si>
  <si>
    <t>Sludge</t>
  </si>
  <si>
    <t>Nappies</t>
  </si>
  <si>
    <t>Rubber and leather</t>
  </si>
  <si>
    <t>Inert waste (including concrete/metal/plastics/glass)</t>
  </si>
  <si>
    <t>-</t>
  </si>
  <si>
    <t>Table 18 Direct emission factors (scope 1) for biological treatment of waste</t>
  </si>
  <si>
    <t xml:space="preserve">Waste treatment type  </t>
  </si>
  <si>
    <r>
      <t>Scope 1 emission factors (t CO</t>
    </r>
    <r>
      <rPr>
        <b/>
        <vertAlign val="subscript"/>
        <sz val="11"/>
        <color theme="1"/>
        <rFont val="Calibri"/>
        <family val="2"/>
        <scheme val="minor"/>
      </rPr>
      <t>2</t>
    </r>
    <r>
      <rPr>
        <b/>
        <sz val="11"/>
        <color theme="1"/>
        <rFont val="Calibri"/>
        <family val="2"/>
        <scheme val="minor"/>
      </rPr>
      <t>-e/t)</t>
    </r>
  </si>
  <si>
    <t xml:space="preserve">Composting </t>
  </si>
  <si>
    <t xml:space="preserve">Anaerobic digestion </t>
  </si>
  <si>
    <t>Onsite Waste Treatment</t>
  </si>
  <si>
    <t>Includes waste treated ontsite in facilities owned or controlled by the reporting company is accounted for in scope 1. If treated by a third-party, please include in Offsite Waste in scope 3</t>
  </si>
  <si>
    <t>Includes wastewater treated ontsite in facilities owned or controlled by the reporting company is accounted for in scope 1. If treated by a third-party, please include in Offsite Waste in scope 3</t>
  </si>
  <si>
    <t>https://www.dcceew.gov.au/climate-change/publications/national-greenhouse-accounts-factors-2023</t>
  </si>
  <si>
    <t>All Landfilled Waste</t>
  </si>
  <si>
    <t>Waste</t>
  </si>
  <si>
    <t>Input total tonnage of material recycled, composted and sent to landfill at each location.
Input pomace composted with other organic material composted.
Input litres of wastewater treated by third-party facility.</t>
  </si>
  <si>
    <t>Enter total litres of wastewater treated onsite and offsite.
Enter average chemical oxygen demand (COD) of wastewater.
Enter kgs of different waste treated onsite in facilities owned/controlled by reporting company.</t>
  </si>
  <si>
    <t>Landfill Waste 
(metric tons)</t>
  </si>
  <si>
    <t>Petrol or diesel</t>
  </si>
  <si>
    <t>https://www.ird.govt.nz/income-tax/income-tax-for-businesses-and-organisations/types-of-business-expenses/claiming-vehicle-expenses/kilometre-rates-2022-2023</t>
  </si>
  <si>
    <t>Tier 1 rate per km (AUD$ per km)</t>
  </si>
  <si>
    <t>Tier 2 rate per km (AUD$ per km)</t>
  </si>
  <si>
    <t>*Edited to make AUD$ per km, rather than cents per km</t>
  </si>
  <si>
    <t>Business Travel, Employee Commuting, and Tasting Room Traffic</t>
  </si>
  <si>
    <t>Solid Waste and Post-Consumer Waste</t>
  </si>
  <si>
    <t>Purchased Petrol
(kL)</t>
  </si>
  <si>
    <t>Total Spent on Air Travel 
(AUD)</t>
  </si>
  <si>
    <t>Average Cost per Kilometer
(AUD)</t>
  </si>
  <si>
    <t>International (Short haul, &lt;3700 km)</t>
  </si>
  <si>
    <t>International (Long haul, &gt;3700 km)</t>
  </si>
  <si>
    <t>Exchange Rates (AUD, 2022)</t>
  </si>
  <si>
    <t>USD to AUD</t>
  </si>
  <si>
    <t>Exchange</t>
  </si>
  <si>
    <t>1.4422 </t>
  </si>
  <si>
    <t>https://www.exchangerates.org.uk/USD-AUD-spot-exchange-rates-history-2022.html</t>
  </si>
  <si>
    <t>NZD to AUD</t>
  </si>
  <si>
    <t>0.9148 </t>
  </si>
  <si>
    <t>https://www.exchangerates.org.uk/NZD-AUD-spot-exchange-rates-history-2022.html</t>
  </si>
  <si>
    <t>Average 2022 Exchange Rate</t>
  </si>
  <si>
    <t>Airfare = AUS$72.11 + (Distance (km) x $0.15); 1 USD = 1.4422 AUD - Source: Morningstar for Currency</t>
  </si>
  <si>
    <t>Total Spent
(AUD)</t>
  </si>
  <si>
    <t>Total CO2e 
(metric tons)</t>
  </si>
  <si>
    <t>Total CH4 CO2e 
(metric tons)</t>
  </si>
  <si>
    <t>Total N2O CO2e 
(metric tons)</t>
  </si>
  <si>
    <t>Conversion Factor</t>
  </si>
  <si>
    <t>ecoinvent 3.9.1, IPCC 2021 (GWP100): "inorganic phosphorus, as P2O5 to generic market for organic phosphorus, as P2O5" (GLO, Global)</t>
  </si>
  <si>
    <t>kg CO2e/kg product</t>
  </si>
  <si>
    <t>ecoinvent 3.9.1, IPCC 2021 (GWP100): "inorganic potassium fertiliser, as K2O to generic market for organic potassium fertiliser, as K2O" (GLO, Global)</t>
  </si>
  <si>
    <t>ecoinvent 3.9.1, IPCC 2021 (GWP100): "lime to generic market for soil pH raising agent" (GLO, Global)</t>
  </si>
  <si>
    <t>Nitrogen-based fertilizers</t>
  </si>
  <si>
    <t>Other fertilizers</t>
  </si>
  <si>
    <r>
      <t>Weight (</t>
    </r>
    <r>
      <rPr>
        <b/>
        <sz val="12"/>
        <color theme="1"/>
        <rFont val="Calibri"/>
        <family val="2"/>
        <scheme val="minor"/>
      </rPr>
      <t>kg</t>
    </r>
    <r>
      <rPr>
        <sz val="12"/>
        <color theme="1"/>
        <rFont val="Calibri"/>
        <family val="2"/>
        <scheme val="minor"/>
      </rPr>
      <t>) of product applied to fields</t>
    </r>
  </si>
  <si>
    <t>Soil and Fertilizer</t>
  </si>
  <si>
    <t>Enter total hectares of each vineyard.
Enter total kg of N used on each vineyard (not total kg of fertilizer, only total N).
In other fertilizers, enter total kg of fertilizer used on vineyard</t>
  </si>
  <si>
    <t>CH4 and N2O only (metric tons CO2e)</t>
  </si>
  <si>
    <t>Short Term Carbon</t>
  </si>
  <si>
    <t>Only CH4 &amp; N20 
(metric tons)</t>
  </si>
  <si>
    <t>CO2
(metric tons)</t>
  </si>
  <si>
    <t>Biomass
(metric tons)</t>
  </si>
  <si>
    <t>Residual Mix Factor</t>
  </si>
  <si>
    <t>Amount Purchased (litre)</t>
  </si>
  <si>
    <t>Hotels (optional)</t>
  </si>
  <si>
    <t>Hotel stay emission factor</t>
  </si>
  <si>
    <t>kg CO₂e</t>
  </si>
  <si>
    <t>Assumption</t>
  </si>
  <si>
    <t>Uncertainty</t>
  </si>
  <si>
    <t>Hotel stay</t>
  </si>
  <si>
    <t>Argentina</t>
  </si>
  <si>
    <t>Room per night</t>
  </si>
  <si>
    <t>See CHSB tool Guidance</t>
  </si>
  <si>
    <t>Austria</t>
  </si>
  <si>
    <t>Belgium</t>
  </si>
  <si>
    <t>Brazil</t>
  </si>
  <si>
    <t>Canada</t>
  </si>
  <si>
    <t>Caribbean Region</t>
  </si>
  <si>
    <t>Chile</t>
  </si>
  <si>
    <t>China</t>
  </si>
  <si>
    <t>Colombia</t>
  </si>
  <si>
    <t>Costa Rica</t>
  </si>
  <si>
    <t>Czech Republic</t>
  </si>
  <si>
    <t>Egypt</t>
  </si>
  <si>
    <t>Fiji</t>
  </si>
  <si>
    <t>Finland</t>
  </si>
  <si>
    <t>France</t>
  </si>
  <si>
    <t>Germany</t>
  </si>
  <si>
    <t>Greece</t>
  </si>
  <si>
    <t>Hong Kong</t>
  </si>
  <si>
    <t>Hungary</t>
  </si>
  <si>
    <t>India</t>
  </si>
  <si>
    <t>Indonesia</t>
  </si>
  <si>
    <t>Ireland</t>
  </si>
  <si>
    <t>Israel</t>
  </si>
  <si>
    <t>Italy</t>
  </si>
  <si>
    <t>Japan</t>
  </si>
  <si>
    <t>Jordan</t>
  </si>
  <si>
    <t>Kazakhstan</t>
  </si>
  <si>
    <t>Macau</t>
  </si>
  <si>
    <t>Malaysia</t>
  </si>
  <si>
    <t>Maldives</t>
  </si>
  <si>
    <t>Mexico</t>
  </si>
  <si>
    <t>Morocco</t>
  </si>
  <si>
    <t>Netherlands</t>
  </si>
  <si>
    <t>New Zealand</t>
  </si>
  <si>
    <t>Oman</t>
  </si>
  <si>
    <t>Panama</t>
  </si>
  <si>
    <t>Peru</t>
  </si>
  <si>
    <t>Philippines</t>
  </si>
  <si>
    <t>Poland</t>
  </si>
  <si>
    <t>Portugal</t>
  </si>
  <si>
    <t>Qatar</t>
  </si>
  <si>
    <t>Romania</t>
  </si>
  <si>
    <t>Russian Federation</t>
  </si>
  <si>
    <t>Saudi Arabia</t>
  </si>
  <si>
    <t>Singapore</t>
  </si>
  <si>
    <t>South Africa</t>
  </si>
  <si>
    <t>South Korea</t>
  </si>
  <si>
    <t>Spain</t>
  </si>
  <si>
    <t>Switzerland</t>
  </si>
  <si>
    <t>Thailand</t>
  </si>
  <si>
    <t>Turkey</t>
  </si>
  <si>
    <t>United Arab Emirates</t>
  </si>
  <si>
    <t>United Kingdom</t>
  </si>
  <si>
    <t>United States</t>
  </si>
  <si>
    <t>Vietnam</t>
  </si>
  <si>
    <t>Source: https://environment.govt.nz/publications/measuring-emissions-a-guide-for-organisations-2023-emission-factors-summary/</t>
  </si>
  <si>
    <t>Country</t>
  </si>
  <si>
    <t># of rooms</t>
  </si>
  <si>
    <t>Nights Stayed</t>
  </si>
  <si>
    <t>Rooms Per Night</t>
  </si>
  <si>
    <t>Petrol (by Litres, spend, or vehicle-km)</t>
  </si>
  <si>
    <t>On Road Diesel (by litres, spend, or vehicle-km)</t>
  </si>
  <si>
    <t>Natural Gas (kWh, GJ, or spend)</t>
  </si>
  <si>
    <t>Lithium hydroxide (LiOH)</t>
  </si>
  <si>
    <t>*International assumes average passenger. Additional emission factors available for different seat classes on Emission Factors tab</t>
  </si>
  <si>
    <t>IWCA commissioned Sustridge to develop this GHG emissions calculator tool for use by current and potential members to calculate their annual GHG emissions inventories. The tool was designed to include the most material emissions sources for typical wineries and vineyards, following ISO guidelines to cover at least 95% of Scope 1-2 emissions and at least 80% of Scope 3 emissions. This tool was updated in early 2023 by Sensiba LLP.
This model has been developed from several years of GHG emissions inventories conducted by Sustridge for IWCA members Jackson Family Wines, Silver Oak, and Spottswoode Estate, who have generously underwritten the development of this tool. The methodology aligns with IWCA's GHG Guidance Document and has been reviewed and approved each year by independent third party auditors accredited to the ISO 14064 standard.</t>
  </si>
  <si>
    <t>Sustridge and Sensiba are happy to provide ongoing support for any users that might require assistance completing their GHG emissions inventories, including assistance identifying required data to input,  inputting the data itself, conducting reviews of completed inventories in preparation for 3rd party verification, or any other support that might be needed.</t>
  </si>
  <si>
    <t>Email:   josh@sustridge.com            OR            jgervreau@sensiba.com</t>
  </si>
  <si>
    <t>Website:       https://www.sustridge.com/             OR              https://sensiba.com/solutions/sustainability/</t>
  </si>
  <si>
    <t>Updated Mar. 2023</t>
  </si>
  <si>
    <t>Onsite wastewater Treatment</t>
  </si>
  <si>
    <t>Total CO2
(metric ton)</t>
  </si>
  <si>
    <t>Lithium hydroxide</t>
  </si>
  <si>
    <t>Motorcycle (&lt;60cc, Electric)</t>
  </si>
  <si>
    <t>Motorcycle (=&gt;60cc, Electric)</t>
  </si>
  <si>
    <t>Motorcycle (&lt;60cc, Petrol)</t>
  </si>
  <si>
    <t>Motorcycle (&gt;60cc, Petrol)</t>
  </si>
  <si>
    <t>Light Passenger Vehicle emission factors</t>
  </si>
  <si>
    <t>CO₂ (kg CO₂e)</t>
  </si>
  <si>
    <t>CH₄ (kg CO₂e)</t>
  </si>
  <si>
    <t>N₂O (kg CO₂e)</t>
  </si>
  <si>
    <t>Petrol vehicle</t>
  </si>
  <si>
    <t>1350–&lt;1600 cc</t>
  </si>
  <si>
    <t>1600–&lt;2000 cc</t>
  </si>
  <si>
    <t>2000–3000 cc</t>
  </si>
  <si>
    <t>Diesel vehicle</t>
  </si>
  <si>
    <t>2000–&lt;3000 cc</t>
  </si>
  <si>
    <t>Petrol hybrid vehicle</t>
  </si>
  <si>
    <t>Diesel Hybrid vehicle</t>
  </si>
  <si>
    <t>PHEV (Petrol) - Petrol consumption</t>
  </si>
  <si>
    <t>PHEV (Petrol) - Electricity consumption</t>
  </si>
  <si>
    <t>PHEV (Diesel) - Diesel consumption</t>
  </si>
  <si>
    <t>PHEV (Diesel) - Electricity consumption</t>
  </si>
  <si>
    <t>Electric vehicle</t>
  </si>
  <si>
    <t>Motorcycle</t>
  </si>
  <si>
    <t>&lt;60cc, petrol</t>
  </si>
  <si>
    <t>≥ 60cc, petrol</t>
  </si>
  <si>
    <t>&lt;60cc, electricity</t>
  </si>
  <si>
    <t>≥ 60cc, electricity</t>
  </si>
  <si>
    <t>Inventory and Audit Methodology</t>
  </si>
  <si>
    <t>Audit firm must either be ISO-14064-3 accredited or CDP accredited as a solutions provider in CDP’s Greenhouse Gas Emissions Inventory services area. The audit firm’s accreditation must be valid for the winery’s specific geography or worldwide.</t>
  </si>
  <si>
    <t>Determined by individual winery and approved by IWCA</t>
  </si>
  <si>
    <r>
      <t xml:space="preserve">IWCA requires that winery GHG emissions inventories follow the World Resources Institute GHG Protocol (primary methodology), with two exceptions: 
</t>
    </r>
    <r>
      <rPr>
        <b/>
        <sz val="12"/>
        <color theme="1"/>
        <rFont val="Calibri"/>
        <family val="2"/>
        <scheme val="minor"/>
      </rPr>
      <t>(1) Accounting for refrigerant emissions:</t>
    </r>
    <r>
      <rPr>
        <sz val="12"/>
        <color theme="1"/>
        <rFont val="Calibri"/>
        <family val="2"/>
        <scheme val="minor"/>
      </rPr>
      <t xml:space="preserve"> Given the large impact of refrigerants on wineries’ carbon footprints, IWCA requires our wineries to include all refrigerant emissions in their Scope 1 calculations. This includes emissions from GHGs not covered by the Kyoto Protocol. This differs from the GHG Protocol, which states that non-Kyoto emissions should be reported separately from Scope 1 emissions.
</t>
    </r>
    <r>
      <rPr>
        <b/>
        <sz val="12"/>
        <color theme="1"/>
        <rFont val="Calibri"/>
        <family val="2"/>
        <scheme val="minor"/>
      </rPr>
      <t>(2) Accounting for retailer and home energy use to store and cool wine:</t>
    </r>
    <r>
      <rPr>
        <sz val="12"/>
        <color theme="1"/>
        <rFont val="Calibri"/>
        <family val="2"/>
        <scheme val="minor"/>
      </rPr>
      <t xml:space="preserve"> To totally close the life cycle of wine products, IWCA requires all wineries to consider all emissions related to energy consumed at the shop/supermarket — and energy consumed to cool wine before use — in their Scope 3 calculations. This differs from the GHG Protocol, which deems accounting for such emissions as optional.
</t>
    </r>
    <r>
      <rPr>
        <sz val="6"/>
        <color theme="1"/>
        <rFont val="Calibri"/>
        <family val="2"/>
        <scheme val="minor"/>
      </rPr>
      <t xml:space="preserve">
</t>
    </r>
    <r>
      <rPr>
        <sz val="12"/>
        <color theme="1"/>
        <rFont val="Calibri"/>
        <family val="2"/>
        <scheme val="minor"/>
      </rPr>
      <t>Additionally, IWCA requires that third-party inventory audits be carried out to the latest ISO-14064-1 standard.</t>
    </r>
  </si>
  <si>
    <t xml:space="preserve">Purchased Goods and Services represent all company operating expenses.  While key purchase categories are included in this GHG calculator (glass, barrels, grapes, etc.) a comprehensive listing of all company spend categories is not and is excluded both based on complexity, challenges with emissions methodology and given the challenges with influcencing non key supply partners.  For wineries that do want to calculate this IWCA optional category, more information is listed on the Purchased Products tab.   </t>
  </si>
  <si>
    <r>
      <t xml:space="preserve">Primary production facility(ies), vineyards, and all business operations — </t>
    </r>
    <r>
      <rPr>
        <b/>
        <sz val="12"/>
        <color theme="1"/>
        <rFont val="Calibri"/>
        <family val="2"/>
        <scheme val="minor"/>
      </rPr>
      <t xml:space="preserve">See details at </t>
    </r>
    <r>
      <rPr>
        <b/>
        <u/>
        <sz val="12"/>
        <color rgb="FF0070C0"/>
        <rFont val="Calibri"/>
        <family val="2"/>
        <scheme val="minor"/>
      </rPr>
      <t>https://iwca.tinyc.co/ghg-inventory</t>
    </r>
    <r>
      <rPr>
        <sz val="12"/>
        <color theme="1"/>
        <rFont val="Calibri"/>
        <family val="2"/>
        <scheme val="minor"/>
      </rPr>
      <t xml:space="preserve">
GHG Protocol Scopes 1, 2, and 3 / ISO-14064-1:2018 Categories 1, 2, 3, 4, 5, and 6 (from the vineyard to the final disposal of the waste once the product is consumed)</t>
    </r>
  </si>
  <si>
    <t>Total Scope</t>
  </si>
  <si>
    <t>IWCA GHG INVENTORY BOUNDARIES</t>
  </si>
  <si>
    <r>
      <t xml:space="preserve">A full list of </t>
    </r>
    <r>
      <rPr>
        <b/>
        <u/>
        <sz val="11.5"/>
        <color theme="1"/>
        <rFont val="Calibri"/>
        <family val="2"/>
        <scheme val="minor"/>
      </rPr>
      <t>required</t>
    </r>
    <r>
      <rPr>
        <b/>
        <sz val="11.5"/>
        <color theme="1"/>
        <rFont val="Calibri"/>
        <family val="2"/>
        <scheme val="minor"/>
      </rPr>
      <t xml:space="preserve"> emissions categories that </t>
    </r>
    <r>
      <rPr>
        <b/>
        <u/>
        <sz val="11.5"/>
        <color theme="1"/>
        <rFont val="Calibri"/>
        <family val="2"/>
        <scheme val="minor"/>
      </rPr>
      <t>must</t>
    </r>
    <r>
      <rPr>
        <b/>
        <sz val="11.5"/>
        <color theme="1"/>
        <rFont val="Calibri"/>
        <family val="2"/>
        <scheme val="minor"/>
      </rPr>
      <t xml:space="preserve"> be considered in an IWCA GHG Emissions Inventory is noted at </t>
    </r>
    <r>
      <rPr>
        <b/>
        <u/>
        <sz val="11.5"/>
        <color rgb="FF0070C0"/>
        <rFont val="Calibri"/>
        <family val="2"/>
        <scheme val="minor"/>
      </rPr>
      <t>https://iwca.tinyc.co/ghg-inventory</t>
    </r>
    <r>
      <rPr>
        <b/>
        <sz val="11.5"/>
        <color theme="1"/>
        <rFont val="Calibri"/>
        <family val="2"/>
        <scheme val="minor"/>
      </rPr>
      <t>.</t>
    </r>
  </si>
  <si>
    <r>
      <t xml:space="preserve">Emissions categories that are </t>
    </r>
    <r>
      <rPr>
        <b/>
        <u/>
        <sz val="11"/>
        <color theme="1"/>
        <rFont val="Calibri"/>
        <family val="2"/>
        <scheme val="minor"/>
      </rPr>
      <t>OPTIONAL</t>
    </r>
    <r>
      <rPr>
        <b/>
        <sz val="11"/>
        <color theme="1"/>
        <rFont val="Calibri"/>
        <family val="2"/>
        <scheme val="minor"/>
      </rPr>
      <t xml:space="preserve"> to include in an IWCA inventory are listed below. </t>
    </r>
    <r>
      <rPr>
        <b/>
        <i/>
        <sz val="11"/>
        <color rgb="FF0070C0"/>
        <rFont val="Calibri"/>
        <family val="2"/>
        <scheme val="minor"/>
      </rPr>
      <t>PLEASE NOTE: This list of optional emissions categories is not exhaustive.</t>
    </r>
  </si>
  <si>
    <r>
      <t>Chosen by the winery (either liters fermented or liters bottled); the emissions intensity metric will be calculated in terms of CO</t>
    </r>
    <r>
      <rPr>
        <vertAlign val="subscript"/>
        <sz val="12"/>
        <color theme="1"/>
        <rFont val="Calibri"/>
        <family val="2"/>
        <scheme val="minor"/>
      </rPr>
      <t>2</t>
    </r>
    <r>
      <rPr>
        <sz val="12"/>
        <color theme="1"/>
        <rFont val="Calibri"/>
        <family val="2"/>
        <scheme val="minor"/>
      </rPr>
      <t>-equivalent/production unit</t>
    </r>
  </si>
  <si>
    <r>
      <t xml:space="preserve">The winery must add all information to this worksheet. The auditor is </t>
    </r>
    <r>
      <rPr>
        <b/>
        <i/>
        <u/>
        <sz val="18"/>
        <color rgb="FFFFFFFF"/>
        <rFont val="Calibri"/>
        <family val="2"/>
      </rPr>
      <t>NOT</t>
    </r>
    <r>
      <rPr>
        <b/>
        <i/>
        <sz val="18"/>
        <color rgb="FFFFFFFF"/>
        <rFont val="Calibri"/>
        <family val="2"/>
      </rPr>
      <t xml:space="preserve"> required to verify this table.</t>
    </r>
  </si>
  <si>
    <t xml:space="preserve">ISO-14064-1:2018 Categories </t>
  </si>
  <si>
    <t xml:space="preserve">GHG Protocol Scopes </t>
  </si>
  <si>
    <t xml:space="preserve">Direct GHG Emissions </t>
  </si>
  <si>
    <t xml:space="preserve">Indirect GHG Emissions from Imported Energy </t>
  </si>
  <si>
    <t>Categories 3-6</t>
  </si>
  <si>
    <t>Category 4: Indirect GHG Emissions from Products Used by the Organization</t>
  </si>
  <si>
    <t xml:space="preserve">Category 3: Indirect GHG Emissions from Transportation </t>
  </si>
  <si>
    <t>Categories 3 and 4</t>
  </si>
  <si>
    <t xml:space="preserve">Category 3 </t>
  </si>
  <si>
    <t>Category 5: Indirect Emissions Associated with the Use of Products from the Organization</t>
  </si>
  <si>
    <t>Categories 3, 4, 5, and/or 6</t>
  </si>
  <si>
    <r>
      <t xml:space="preserve">Electricity purchased from local utility grid (either location-based or market-based emissions factors allowed)
</t>
    </r>
    <r>
      <rPr>
        <i/>
        <sz val="11"/>
        <color rgb="FF006699"/>
        <rFont val="Calibri"/>
        <family val="2"/>
      </rPr>
      <t>Please manually select either "location-based" or "market-based" from dropdown in Cell F14.</t>
    </r>
  </si>
  <si>
    <r>
      <t xml:space="preserve">Harvesting transport (for internal fruit only) and grape transport (for grower fruit only)
</t>
    </r>
    <r>
      <rPr>
        <i/>
        <sz val="11"/>
        <color rgb="FF006699"/>
        <rFont val="Calibri"/>
        <family val="2"/>
      </rPr>
      <t>Value calculated in Cell E30 only represents emissions from outsourced harvesting transporting (internal fruit). Winery will need to edit the formula in the cell to add in emissions from outsourced grape transport (for grower fruit). See the Product Transport tab, Row 108 for more information.</t>
    </r>
  </si>
  <si>
    <r>
      <t xml:space="preserve">Purchased bottling material and wine barrel transport
</t>
    </r>
    <r>
      <rPr>
        <i/>
        <sz val="11"/>
        <color rgb="FF006699"/>
        <rFont val="Calibri"/>
        <family val="2"/>
      </rPr>
      <t>Value calculated in Cell E31</t>
    </r>
    <r>
      <rPr>
        <sz val="11"/>
        <color rgb="FF006699"/>
        <rFont val="Calibri"/>
        <family val="2"/>
      </rPr>
      <t xml:space="preserve"> </t>
    </r>
    <r>
      <rPr>
        <i/>
        <sz val="11"/>
        <color rgb="FF006699"/>
        <rFont val="Calibri"/>
        <family val="2"/>
      </rPr>
      <t>only represents the emissions from wine barrel transport. Winery needs to edit the formula in the cell to add in emissions from purchased bottling material. See the Purchased Products tab, "Upstream Product Transport" section (Row 300) for more information.</t>
    </r>
  </si>
  <si>
    <r>
      <t xml:space="preserve">Purchased wine and distillate transport (includes third-party transport of wine / juice between facilities)
</t>
    </r>
    <r>
      <rPr>
        <i/>
        <sz val="11"/>
        <color rgb="FF006699"/>
        <rFont val="Calibri"/>
        <family val="2"/>
      </rPr>
      <t>Winery will need to manually calculate and enter these emissions.</t>
    </r>
    <r>
      <rPr>
        <sz val="11"/>
        <color rgb="FF006699"/>
        <rFont val="Calibri"/>
        <family val="2"/>
      </rPr>
      <t xml:space="preserve"> </t>
    </r>
    <r>
      <rPr>
        <i/>
        <sz val="11"/>
        <color rgb="FF006699"/>
        <rFont val="Calibri"/>
        <family val="2"/>
      </rPr>
      <t>See the Purchased Products tab, "Upstream Product Transport" section (Row 300) for more information.</t>
    </r>
  </si>
  <si>
    <r>
      <t xml:space="preserve">Biomass transport (used as fuel for biomass boiler)
</t>
    </r>
    <r>
      <rPr>
        <i/>
        <sz val="11"/>
        <color rgb="FF006699"/>
        <rFont val="Calibri"/>
        <family val="2"/>
      </rPr>
      <t>Winery will need to manually calculate and enter these emissions. See the Purchased Products tab, "Upstream Product Transport" section (Row 300) for more information.</t>
    </r>
  </si>
  <si>
    <r>
      <t xml:space="preserve">Wine club shipments
</t>
    </r>
    <r>
      <rPr>
        <i/>
        <sz val="11"/>
        <color rgb="FF006699"/>
        <rFont val="Calibri"/>
        <family val="2"/>
      </rPr>
      <t>Winery can opt to calculate wine club shipment emissions using the "Domestic Product Transport" table (see Product Transport tab, Row 14) instead of using the calculated value in Cell E35. However, if the winery chooses to do so, it may need to manually change the emissions value in Cell E35 (and include a comment in Cell F35).</t>
    </r>
  </si>
  <si>
    <r>
      <t xml:space="preserve">Location- / market-based transmission and distribution losses (from purchased electricity)
</t>
    </r>
    <r>
      <rPr>
        <i/>
        <sz val="11"/>
        <color rgb="FF006699"/>
        <rFont val="Calibri"/>
        <family val="2"/>
      </rPr>
      <t>Please manually select either "location-based" or "market-based" from dropdown in Cell F42.</t>
    </r>
  </si>
  <si>
    <r>
      <t xml:space="preserve">Any other packaging material
</t>
    </r>
    <r>
      <rPr>
        <i/>
        <sz val="11"/>
        <color rgb="FF006699"/>
        <rFont val="Calibri"/>
        <family val="2"/>
      </rPr>
      <t>No value will be automatically calculated in Cell E29; winery should manually enter any additional packaging emissions</t>
    </r>
  </si>
  <si>
    <t>Winery should use "Upstream Product Transport" section on Purchased Products tab to calculate emissions for grape transport (grower fruit only). Note: whatever emissions value the winery calculates for grape transport (grower fruit only) should be manually added to the GHG Emissions Breakdown tab to Cell E30.</t>
  </si>
  <si>
    <t>Scope 1 GHG Emissions / ISO-14064-1:2018 Category 1 Emissions</t>
  </si>
  <si>
    <t>Scope 2 GHG Emissions / ISO-14064-1:2018 Category 2 Emissions</t>
  </si>
  <si>
    <t>Scope 3 GHG Emissions / ISO-14064-1:2018 Categories 3-6 Emissions</t>
  </si>
  <si>
    <t>TOTAL Absolute GHG Emissions (Scopes 1-2-3 / ISO-14064-1:2018 Categories 1-6)</t>
  </si>
  <si>
    <r>
      <t>Exceptions:</t>
    </r>
    <r>
      <rPr>
        <i/>
        <sz val="10"/>
        <color theme="9" tint="-0.499984740745262"/>
        <rFont val="Calibri"/>
        <family val="2"/>
      </rPr>
      <t xml:space="preserve"> If a winery can demonstrate that any given emissions category is less than 1% of its total annual emissions, and ongoing data collection is determined to be overly time consuming or unreliable, it is acceptable to only perform the GHG calculation in the baseline year and reuse the calculated emissions number for future years without recalculating it, unless the production volume incresases by more than 5% vs the base year, where in that case the emissons number has to be increased proportionally. Case-by-case exceptions are subject to IWCA Board of Directors approval.</t>
    </r>
  </si>
  <si>
    <r>
      <rPr>
        <b/>
        <sz val="11"/>
        <color theme="9" tint="-0.499984740745262"/>
        <rFont val="Calibri"/>
        <family val="2"/>
      </rPr>
      <t xml:space="preserve">(1) </t>
    </r>
    <r>
      <rPr>
        <sz val="11"/>
        <color theme="9" tint="-0.499984740745262"/>
        <rFont val="Calibri"/>
        <family val="2"/>
      </rPr>
      <t xml:space="preserve">The inventory must include the main winery (in bottle production) of the organization. 
</t>
    </r>
    <r>
      <rPr>
        <b/>
        <sz val="11"/>
        <color theme="9" tint="-0.499984740745262"/>
        <rFont val="Calibri"/>
        <family val="2"/>
      </rPr>
      <t xml:space="preserve">(2) </t>
    </r>
    <r>
      <rPr>
        <sz val="11"/>
        <color theme="9" tint="-0.499984740745262"/>
        <rFont val="Calibri"/>
        <family val="2"/>
      </rPr>
      <t xml:space="preserve">The inventory must include any other winery in the region so that the audit represents at least 90% of the organization’s volume in the specified region. The wineries’ facilities need also to be included (owned logistics warehouse, water treatment plant, offices, hospitality centers, etc.)
</t>
    </r>
    <r>
      <rPr>
        <b/>
        <sz val="11"/>
        <color theme="9" tint="-0.499984740745262"/>
        <rFont val="Calibri"/>
        <family val="2"/>
      </rPr>
      <t xml:space="preserve">(3) </t>
    </r>
    <r>
      <rPr>
        <sz val="11"/>
        <color theme="9" tint="-0.499984740745262"/>
        <rFont val="Calibri"/>
        <family val="2"/>
      </rPr>
      <t xml:space="preserve">Emissions reductions must be based on own efforts (i.e., no external compensations or offsets, including Renewable Energy Credits [RECs] or Guarantees of Origin [GOs] linked to energy generated outside of the electricity grid from which the winery consumes its electricity, nor CO2 stored in planted vines, stoppers, or barrels). The use of external offsets is restricted, since IWCA’s approach is consistent with wineries reducing their own emissions as a key priority and by themselves, without relying on offsetting solutions. 
</t>
    </r>
    <r>
      <rPr>
        <b/>
        <sz val="11"/>
        <color theme="9" tint="-0.499984740745262"/>
        <rFont val="Calibri"/>
        <family val="2"/>
      </rPr>
      <t xml:space="preserve">(4) </t>
    </r>
    <r>
      <rPr>
        <sz val="11"/>
        <color theme="9" tint="-0.499984740745262"/>
        <rFont val="Calibri"/>
        <family val="2"/>
      </rPr>
      <t xml:space="preserve">Third-party verified reforestation or other carbon sequestration projects are acceptable on owned or permanently protected land that meets globally recognized permanence and additionality requirements for nature-based carbon removal. IWCA reserves the right to limit internal offsets up to a certain percentage of a winery’s carbon footprint, as it relates to obtaining Gold-level membership.
</t>
    </r>
    <r>
      <rPr>
        <b/>
        <sz val="11"/>
        <color theme="9" tint="-0.499984740745262"/>
        <rFont val="Calibri"/>
        <family val="2"/>
      </rPr>
      <t>(5)</t>
    </r>
    <r>
      <rPr>
        <sz val="11"/>
        <color theme="9" tint="-0.499984740745262"/>
        <rFont val="Calibri"/>
        <family val="2"/>
      </rPr>
      <t xml:space="preserve"> Market-based emissions factors for electricity emissions are acceptable. Market-based emissions factors may account for the purchase of grid-sourced renewable electricity so long as the renewable generation source/origin is verifiably connected to the same electricity grid from which the winery consumes its electricity. No other grid-sourced renewable electricity may be accounted for. All renewable electricity purchases are subject to IWCA approval on a case-by-case basis to ensure integrity. Renewable electricity purchases can only be used to cumulatively reduce a winery’s Scope 2 emissions toward zero (0) and can never be used to generate negative emissions.
</t>
    </r>
    <r>
      <rPr>
        <b/>
        <sz val="11"/>
        <color theme="9" tint="-0.499984740745262"/>
        <rFont val="Calibri"/>
        <family val="2"/>
      </rPr>
      <t xml:space="preserve">(6) </t>
    </r>
    <r>
      <rPr>
        <sz val="11"/>
        <color theme="9" tint="-0.499984740745262"/>
        <rFont val="Calibri"/>
        <family val="2"/>
      </rPr>
      <t xml:space="preserve">The inventory can model Short Term Carbon Cycle emissions (vineyard photosynthesis, soil carbon sequestration and emissions from wine fermentation) but these cannot be included in Scopes 1, 2, or 3.
</t>
    </r>
    <r>
      <rPr>
        <b/>
        <sz val="11"/>
        <color theme="9" tint="-0.499984740745262"/>
        <rFont val="Calibri"/>
        <family val="2"/>
      </rPr>
      <t xml:space="preserve">(7) </t>
    </r>
    <r>
      <rPr>
        <sz val="11"/>
        <color theme="9" tint="-0.499984740745262"/>
        <rFont val="Calibri"/>
        <family val="2"/>
      </rPr>
      <t xml:space="preserve">Purchases or sales of Renewable Energy Credits (RECs) do not satisfy the criteria for onsite renewables or the GHG audit.
</t>
    </r>
    <r>
      <rPr>
        <b/>
        <sz val="11"/>
        <color theme="9" tint="-0.499984740745262"/>
        <rFont val="Calibri"/>
        <family val="2"/>
      </rPr>
      <t>(8)</t>
    </r>
    <r>
      <rPr>
        <sz val="11"/>
        <color theme="9" tint="-0.499984740745262"/>
        <rFont val="Calibri"/>
        <family val="2"/>
      </rPr>
      <t xml:space="preserve"> Renewable energy purchased from the public electricity grid does not satisfy criteria (unless local grid is 100% renewable).</t>
    </r>
  </si>
  <si>
    <r>
      <rPr>
        <b/>
        <u/>
        <sz val="14"/>
        <color rgb="FF376189"/>
        <rFont val="Calibri"/>
        <family val="2"/>
      </rPr>
      <t>Footnotes</t>
    </r>
    <r>
      <rPr>
        <sz val="11"/>
        <color theme="9" tint="-0.499984740745262"/>
        <rFont val="Calibri"/>
        <family val="2"/>
      </rPr>
      <t xml:space="preserve">
~ If you are specifying a reason for zero or non-reported emissions, please be detailed in your description. For example, if your winery only uses well water and thus excludes emissions from the “Purchased municipal water” category, please specify, “Winery only uses well water” instead of simply, “Does not apply.”  Some additional notes:
</t>
    </r>
    <r>
      <rPr>
        <sz val="11"/>
        <color theme="9" tint="-0.499984740745262"/>
        <rFont val="Wingdings"/>
        <charset val="2"/>
      </rPr>
      <t xml:space="preserve"> ü</t>
    </r>
    <r>
      <rPr>
        <sz val="11"/>
        <color theme="9" tint="-0.499984740745262"/>
        <rFont val="Calibri"/>
        <family val="2"/>
      </rPr>
      <t xml:space="preserve">  Your winery </t>
    </r>
    <r>
      <rPr>
        <b/>
        <u/>
        <sz val="11"/>
        <color theme="9" tint="-0.499984740745262"/>
        <rFont val="Calibri"/>
        <family val="2"/>
      </rPr>
      <t>must</t>
    </r>
    <r>
      <rPr>
        <sz val="11"/>
        <color theme="9" tint="-0.499984740745262"/>
        <rFont val="Calibri"/>
        <family val="2"/>
      </rPr>
      <t xml:space="preserve"> consider each emissions category as part of its    
           inventory. As such, "Did not calculate" or "Did not report" is not a 
           sufficient explanation.
</t>
    </r>
    <r>
      <rPr>
        <sz val="11"/>
        <color theme="9" tint="-0.499984740745262"/>
        <rFont val="Wingdings"/>
        <charset val="2"/>
      </rPr>
      <t xml:space="preserve"> ü</t>
    </r>
    <r>
      <rPr>
        <sz val="11"/>
        <color theme="9" tint="-0.499984740745262"/>
        <rFont val="Calibri"/>
        <family val="2"/>
      </rPr>
      <t xml:space="preserve">  If emissions are excluded from a specific category due to falling 
           below an X% materiality threshold, please indicate this (along 
           with the “X” amount).
</t>
    </r>
    <r>
      <rPr>
        <sz val="11"/>
        <color theme="9" tint="-0.499984740745262"/>
        <rFont val="Wingdings"/>
        <charset val="2"/>
      </rPr>
      <t xml:space="preserve"> ü</t>
    </r>
    <r>
      <rPr>
        <sz val="11"/>
        <color theme="9" tint="-0.499984740745262"/>
        <rFont val="Calibri"/>
        <family val="2"/>
      </rPr>
      <t xml:space="preserve">  If emissions in a specific category are already accounted for in 
           another category, indicate the category under which those 
           emissions fall.
Please reach out to IWCA with any questions: https://www.iwcawine.org/contact-us
</t>
    </r>
    <r>
      <rPr>
        <b/>
        <sz val="11"/>
        <color theme="9" tint="-0.499984740745262"/>
        <rFont val="Calibri"/>
        <family val="2"/>
      </rPr>
      <t>*</t>
    </r>
    <r>
      <rPr>
        <sz val="11"/>
        <color theme="9" tint="-0.499984740745262"/>
        <rFont val="Calibri"/>
        <family val="2"/>
      </rPr>
      <t xml:space="preserve"> Note: MTCO</t>
    </r>
    <r>
      <rPr>
        <vertAlign val="subscript"/>
        <sz val="11"/>
        <color theme="9" tint="-0.499984740745262"/>
        <rFont val="Calibri"/>
        <family val="2"/>
      </rPr>
      <t>2</t>
    </r>
    <r>
      <rPr>
        <sz val="11"/>
        <color theme="9" tint="-0.499984740745262"/>
        <rFont val="Calibri"/>
        <family val="2"/>
      </rPr>
      <t xml:space="preserve">e stands for "metric tons of carbon dioxide equivalent." The "M" does </t>
    </r>
    <r>
      <rPr>
        <b/>
        <u/>
        <sz val="11"/>
        <color theme="9" tint="-0.499984740745262"/>
        <rFont val="Calibri"/>
        <family val="2"/>
      </rPr>
      <t>not</t>
    </r>
    <r>
      <rPr>
        <sz val="11"/>
        <color theme="9" tint="-0.499984740745262"/>
        <rFont val="Calibri"/>
        <family val="2"/>
      </rPr>
      <t xml:space="preserve"> stand for "Mega."</t>
    </r>
    <r>
      <rPr>
        <b/>
        <sz val="11"/>
        <color theme="9" tint="-0.499984740745262"/>
        <rFont val="Calibri"/>
        <family val="2"/>
      </rPr>
      <t xml:space="preserve">
^</t>
    </r>
    <r>
      <rPr>
        <sz val="11"/>
        <color theme="9" tint="-0.499984740745262"/>
        <rFont val="Calibri"/>
        <family val="2"/>
      </rPr>
      <t xml:space="preserve"> The Current Year values stated in the Summary Table are calculated from the data entered on this "GHG Emissions Breakdown" worksheet/tab. </t>
    </r>
    <r>
      <rPr>
        <i/>
        <sz val="11"/>
        <color theme="9" tint="-0.499984740745262"/>
        <rFont val="Calibri"/>
        <family val="2"/>
      </rPr>
      <t>Assuming that the auditor has completed the ISO-14064 Audit Summary section of the "Auditor Worksheet" tab,</t>
    </r>
    <r>
      <rPr>
        <sz val="11"/>
        <color theme="9" tint="-0.499984740745262"/>
        <rFont val="Calibri"/>
        <family val="2"/>
      </rPr>
      <t xml:space="preserve"> the Accuracy Self-Test cells will turn green if the values stated in the Summary Table match the audited values. Note: There may be a margin of error between the values on on this sheet and the Auditor Worksheet, so we recommend double checking the values.</t>
    </r>
  </si>
  <si>
    <r>
      <rPr>
        <b/>
        <sz val="11"/>
        <rFont val="Calibri"/>
        <family val="2"/>
      </rPr>
      <t xml:space="preserve">Last Updated:  </t>
    </r>
    <r>
      <rPr>
        <sz val="11"/>
        <color theme="9" tint="-0.499984740745262"/>
        <rFont val="Calibri"/>
        <family val="2"/>
      </rPr>
      <t xml:space="preserve">
12 March 2024 
(to match the Audit Summary Form updated on 1 January 2024)</t>
    </r>
  </si>
  <si>
    <t>Primary production facility(s), vineyards, and all business operations. Scopes 1, 2, and 3 / ISO-14064-1:2018 Categories 1, 2, 3, 4, 5, and 6 (from the vineyard to the final disposal of the waste once the product is consumed)</t>
  </si>
  <si>
    <r>
      <t>Chosen by the winery (either liters fermented or liters bottled); the emissions intensity metric will be calculated in terms of CO</t>
    </r>
    <r>
      <rPr>
        <vertAlign val="subscript"/>
        <sz val="11"/>
        <color theme="9" tint="-0.499984740745262"/>
        <rFont val="Calibri"/>
        <family val="2"/>
      </rPr>
      <t>2</t>
    </r>
    <r>
      <rPr>
        <sz val="11"/>
        <color theme="9" tint="-0.499984740745262"/>
        <rFont val="Calibri"/>
        <family val="2"/>
      </rPr>
      <t>-equivalent/production unit</t>
    </r>
  </si>
  <si>
    <r>
      <t xml:space="preserve">World Resources Institute GHG Protocol (primary methodology), with two exceptions: 
</t>
    </r>
    <r>
      <rPr>
        <b/>
        <sz val="11"/>
        <color theme="9" tint="-0.499984740745262"/>
        <rFont val="Calibri"/>
        <family val="2"/>
      </rPr>
      <t xml:space="preserve">(1) Accounting for refrigerant emissions: </t>
    </r>
    <r>
      <rPr>
        <sz val="11"/>
        <color theme="9" tint="-0.499984740745262"/>
        <rFont val="Calibri"/>
        <family val="2"/>
      </rPr>
      <t xml:space="preserve">Given the large impact of refrigerants on wineries’ carbon footprints, IWCA requires our wineries to include all refrigerant emissions in their Scope 1 calculations. This includes emissions from GHGs not covered by the Kyoto Protocol. This differs from the GHG Protocol, which states that non-Kyoto emissions should be reported separately from Scope 1 emissions.
</t>
    </r>
    <r>
      <rPr>
        <b/>
        <sz val="11"/>
        <color theme="9" tint="-0.499984740745262"/>
        <rFont val="Calibri"/>
        <family val="2"/>
      </rPr>
      <t xml:space="preserve">(2) Accounting for retailer and home energy use to store and cool wine: </t>
    </r>
    <r>
      <rPr>
        <sz val="11"/>
        <color theme="9" tint="-0.499984740745262"/>
        <rFont val="Calibri"/>
        <family val="2"/>
      </rPr>
      <t>To totally close the life cycle of wine products, IWCA requires all wineries to consider all emissions related to energy consumed at the shop/supermarket — and energy consumed to cool wine before use — in their Scope 3 calculations. This differs from the GHG Protocol, which deems accounting for such emissions as optional.</t>
    </r>
  </si>
  <si>
    <t>to be input by auditor (expressed in liters fermented or bottled; indicate both value and unit)</t>
  </si>
  <si>
    <t>to be input by auditor (list all wineries or wine brands that would be eligible to feature the IWCA logo)</t>
  </si>
  <si>
    <t>See Section 4 of the "Process for Audit Companies to Evaluate IWCA Membership Requirements" document for guidance on how to complete the below fields.</t>
  </si>
  <si>
    <t>Auditor, please fill out all 
 cells in yellow and beige.</t>
  </si>
  <si>
    <r>
      <t xml:space="preserve">Determined by individual winery and approved by IWCA (2020 is </t>
    </r>
    <r>
      <rPr>
        <u/>
        <sz val="11"/>
        <color theme="9" tint="-0.499984740745262"/>
        <rFont val="Calibri"/>
        <family val="2"/>
      </rPr>
      <t>NOT</t>
    </r>
    <r>
      <rPr>
        <sz val="11"/>
        <color theme="9" tint="-0.499984740745262"/>
        <rFont val="Calibri"/>
        <family val="2"/>
      </rPr>
      <t xml:space="preserve"> recommended for baseline)</t>
    </r>
  </si>
  <si>
    <r>
      <t xml:space="preserve">Do </t>
    </r>
    <r>
      <rPr>
        <u/>
        <sz val="11"/>
        <color theme="9" tint="-0.499984740745262"/>
        <rFont val="Calibri"/>
        <family val="2"/>
      </rPr>
      <t>not</t>
    </r>
    <r>
      <rPr>
        <sz val="11"/>
        <color theme="9" tint="-0.499984740745262"/>
        <rFont val="Calibri"/>
        <family val="2"/>
      </rPr>
      <t xml:space="preserve"> include carbon removals (see Rows 73-74 and 86-92)</t>
    </r>
  </si>
  <si>
    <t>Indicate sources of emissions</t>
  </si>
  <si>
    <t>Self-Generated Onsite Renewable Energy as a Percent of All Energy Consumed by the Winery (see below)</t>
  </si>
  <si>
    <t>•  IWCA defines “renewable energy” according to the World Resources Institute’s GHG Protocol: "Energy taken from sources that are inexhaustible, e.g., wind, water, solar, geothermal energy, and biofuels." IWCA considers biomass used for fuel as renewable energy.
• “All energy consumed by the winery” refers to both all stationary energy produced related to Scope 1 and all electricity consumed related to Scope 2, including renewable and/or self-generated electricity.
• The self-generated onsite renewable energy percentage shall be based on total energy consumption over a 12-month period. This 12-month period must align with either: (a) the reporting timeframe of the winery’s current year GHG inventory, or (b) the reporting timeframe of a future year GHG inventory for the winery, as long as that timeframe has passed in real time.</t>
  </si>
  <si>
    <r>
      <t xml:space="preserve">Enter 12-month period above
</t>
    </r>
    <r>
      <rPr>
        <i/>
        <sz val="10"/>
        <color theme="9" tint="-0.499984740745262"/>
        <rFont val="Calibri"/>
        <family val="2"/>
      </rPr>
      <t>(usually the same as the Current Year inventory reporting timeframe, see notes in Cell C81)</t>
    </r>
  </si>
  <si>
    <t>% value calculated above</t>
  </si>
  <si>
    <t>Auditor Comments to justify emissions reduction/increase of more than 10% (OPTIONAL)</t>
  </si>
  <si>
    <r>
      <t xml:space="preserve">Exceptions: </t>
    </r>
    <r>
      <rPr>
        <i/>
        <sz val="10"/>
        <color theme="9" tint="-0.499984740745262"/>
        <rFont val="Calibri"/>
        <family val="2"/>
      </rPr>
      <t>If a winery can demonstrate that any given emissions category is less than 1% of its total annual emissions, and ongoing data collection is determined to be overly time consuming or unreliable, it is acceptable to only perform the GHG calculation in the baseline year and reuse the calculated emissions number for future years without recalculating it, unless the production volume incresases by more than 5% versus the baseline year, where in that case the emissons number has to be increased proportionally. Case-by-case exceptions are subject to IWCA Board of Directors approval.</t>
    </r>
  </si>
  <si>
    <r>
      <rPr>
        <b/>
        <sz val="11"/>
        <color theme="9" tint="-0.499984740745262"/>
        <rFont val="Calibri"/>
        <family val="2"/>
      </rPr>
      <t>(1)</t>
    </r>
    <r>
      <rPr>
        <sz val="11"/>
        <color theme="9" tint="-0.499984740745262"/>
        <rFont val="Calibri"/>
        <family val="2"/>
      </rPr>
      <t xml:space="preserve"> The inventory must include the main winery (in bottle production) of the organization. 
</t>
    </r>
    <r>
      <rPr>
        <b/>
        <sz val="11"/>
        <color theme="9" tint="-0.499984740745262"/>
        <rFont val="Calibri"/>
        <family val="2"/>
      </rPr>
      <t>(2)</t>
    </r>
    <r>
      <rPr>
        <sz val="11"/>
        <color theme="9" tint="-0.499984740745262"/>
        <rFont val="Calibri"/>
        <family val="2"/>
      </rPr>
      <t xml:space="preserve"> The inventory must include any other winery in the region so that the audit represents at least 90% of the organization’s volume in the specified region. The wineries’ facilities need also to be included (owned logistics warehouse, water treatment plant, offices, hospitality centers, etc.)
</t>
    </r>
    <r>
      <rPr>
        <b/>
        <sz val="11"/>
        <color theme="9" tint="-0.499984740745262"/>
        <rFont val="Calibri"/>
        <family val="2"/>
      </rPr>
      <t xml:space="preserve">(3) </t>
    </r>
    <r>
      <rPr>
        <sz val="11"/>
        <color theme="9" tint="-0.499984740745262"/>
        <rFont val="Calibri"/>
        <family val="2"/>
      </rPr>
      <t>Emissions reductions must be based on own efforts (i.e., no external compensations or offsets, including Renewable Energy Credits [RECs] or Guarantees of Origin [GOs] linked to energy generated outside of the electricity grid from which the winery consumes its electricity, nor CO</t>
    </r>
    <r>
      <rPr>
        <vertAlign val="subscript"/>
        <sz val="11"/>
        <color theme="9" tint="-0.499984740745262"/>
        <rFont val="Calibri"/>
        <family val="2"/>
      </rPr>
      <t>2</t>
    </r>
    <r>
      <rPr>
        <sz val="11"/>
        <color theme="9" tint="-0.499984740745262"/>
        <rFont val="Calibri"/>
        <family val="2"/>
      </rPr>
      <t xml:space="preserve"> stored in planted vines, stoppers, or barrels). The use of external offsets is restricted, since IWCA’s approach is consistent with wineries reducing their own emissions as a key priority and by themselves, without relying on offsetting solutions. 
</t>
    </r>
    <r>
      <rPr>
        <b/>
        <sz val="11"/>
        <color theme="9" tint="-0.499984740745262"/>
        <rFont val="Calibri"/>
        <family val="2"/>
      </rPr>
      <t xml:space="preserve">(4) </t>
    </r>
    <r>
      <rPr>
        <sz val="11"/>
        <color theme="9" tint="-0.499984740745262"/>
        <rFont val="Calibri"/>
        <family val="2"/>
      </rPr>
      <t xml:space="preserve">Third-party verified reforestation or other carbon sequestration projects are acceptable on owned or permanently protected land that meets globally recognized permanence and additionality requirements for nature-based carbon removal. IWCA reserves the right to limit internal offsets up to a certain percentage of a winery’s carbon footprint, as it relates to obtaining Gold-level membership.
</t>
    </r>
    <r>
      <rPr>
        <b/>
        <sz val="11"/>
        <color theme="9" tint="-0.499984740745262"/>
        <rFont val="Calibri"/>
        <family val="2"/>
      </rPr>
      <t>(5)</t>
    </r>
    <r>
      <rPr>
        <sz val="11"/>
        <color theme="9" tint="-0.499984740745262"/>
        <rFont val="Calibri"/>
        <family val="2"/>
      </rPr>
      <t xml:space="preserve"> Market-based emissions factors for electricity emissions are acceptable. Market-based emissions factors may account for the purchase of grid-sourced renewable electricity so long as the renewable generation source/origin is verifiably connected to the same electricity grid from which the winery consumes its electricity. No other grid-sourced renewable electricity may be accounted for. All renewable electricity purchases are subject to IWCA approval on a case-by-case basis to ensure integrity. Renewable electricity purchases can only be used to cumulatively reduce a winery’s Scope 2 emissions toward zero (0) and can never be used to generate negative emissions.
</t>
    </r>
    <r>
      <rPr>
        <b/>
        <sz val="11"/>
        <color theme="9" tint="-0.499984740745262"/>
        <rFont val="Calibri"/>
        <family val="2"/>
      </rPr>
      <t xml:space="preserve">(6) </t>
    </r>
    <r>
      <rPr>
        <sz val="11"/>
        <color theme="9" tint="-0.499984740745262"/>
        <rFont val="Calibri"/>
        <family val="2"/>
      </rPr>
      <t xml:space="preserve">The inventory can model Short Term Carbon Cycle emissions (vineyard photosynthesis, soil carbon sequestration and emissions from wine fermentation) but these cannot be included in Scopes 1, 2, or 3.
</t>
    </r>
    <r>
      <rPr>
        <b/>
        <sz val="11"/>
        <color theme="9" tint="-0.499984740745262"/>
        <rFont val="Calibri"/>
        <family val="2"/>
      </rPr>
      <t>(7)</t>
    </r>
    <r>
      <rPr>
        <sz val="11"/>
        <color theme="9" tint="-0.499984740745262"/>
        <rFont val="Calibri"/>
        <family val="2"/>
      </rPr>
      <t xml:space="preserve"> Purchases or sales of Renewable Energy Credits (RECs) do not satisfy the criteria for onsite renewables or the GHG audit.
</t>
    </r>
    <r>
      <rPr>
        <b/>
        <sz val="11"/>
        <color theme="9" tint="-0.499984740745262"/>
        <rFont val="Calibri"/>
        <family val="2"/>
      </rPr>
      <t>(8)</t>
    </r>
    <r>
      <rPr>
        <sz val="11"/>
        <color theme="9" tint="-0.499984740745262"/>
        <rFont val="Calibri"/>
        <family val="2"/>
      </rPr>
      <t xml:space="preserve"> Renewable energy purchased from the public electricity grid does not satisfy criteria (unless local grid is 100% renewable).</t>
    </r>
  </si>
  <si>
    <r>
      <rPr>
        <b/>
        <u/>
        <sz val="14"/>
        <color rgb="FF376189"/>
        <rFont val="Calibri"/>
        <family val="2"/>
      </rPr>
      <t>Footnotes</t>
    </r>
    <r>
      <rPr>
        <b/>
        <u/>
        <sz val="14"/>
        <color theme="9" tint="-0.499984740745262"/>
        <rFont val="Calibri"/>
        <family val="2"/>
      </rPr>
      <t xml:space="preserve">
</t>
    </r>
    <r>
      <rPr>
        <sz val="11"/>
        <color theme="9" tint="-0.499984740745262"/>
        <rFont val="Calibri"/>
        <family val="2"/>
      </rPr>
      <t xml:space="preserve">
</t>
    </r>
    <r>
      <rPr>
        <b/>
        <sz val="11"/>
        <color theme="9" tint="-0.499984740745262"/>
        <rFont val="Calibri"/>
        <family val="2"/>
      </rPr>
      <t>^</t>
    </r>
    <r>
      <rPr>
        <sz val="11"/>
        <color theme="9" tint="-0.499984740745262"/>
        <rFont val="Calibri"/>
        <family val="2"/>
      </rPr>
      <t xml:space="preserve"> Please be detailed in your descriptions. For example, if a winery only uses well water and thus excludes emissions from the “Purchased municipal water” category, please specify, “Winery only uses well water” instead of simply, “Does not apply.”  Some additional notes:
</t>
    </r>
    <r>
      <rPr>
        <sz val="11"/>
        <color theme="9" tint="-0.499984740745262"/>
        <rFont val="Wingdings"/>
        <charset val="2"/>
      </rPr>
      <t xml:space="preserve"> ü</t>
    </r>
    <r>
      <rPr>
        <sz val="11"/>
        <color theme="9" tint="-0.499984740745262"/>
        <rFont val="Calibri"/>
        <family val="2"/>
      </rPr>
      <t xml:space="preserve">  The winery </t>
    </r>
    <r>
      <rPr>
        <b/>
        <u/>
        <sz val="11"/>
        <color theme="9" tint="-0.499984740745262"/>
        <rFont val="Calibri"/>
        <family val="2"/>
      </rPr>
      <t>must</t>
    </r>
    <r>
      <rPr>
        <sz val="11"/>
        <color theme="9" tint="-0.499984740745262"/>
        <rFont val="Calibri"/>
        <family val="2"/>
      </rPr>
      <t xml:space="preserve"> consider each emissions category as 
           part of its inventory. As such, "Did not calculate" or 
           "Did not report" is not a sufficient explanation.
     </t>
    </r>
    <r>
      <rPr>
        <sz val="11"/>
        <color theme="9" tint="-0.499984740745262"/>
        <rFont val="Wingdings"/>
        <charset val="2"/>
      </rPr>
      <t>ü</t>
    </r>
    <r>
      <rPr>
        <sz val="11"/>
        <color theme="9" tint="-0.499984740745262"/>
        <rFont val="Calibri"/>
        <family val="2"/>
      </rPr>
      <t xml:space="preserve">  If emissions are excluded from a specific category due 
           to falling below an X% materiality threshold, please 
           indicate this (along with the “X” amount).
</t>
    </r>
    <r>
      <rPr>
        <sz val="11"/>
        <color theme="9" tint="-0.499984740745262"/>
        <rFont val="Wingdings"/>
        <charset val="2"/>
      </rPr>
      <t xml:space="preserve"> ü</t>
    </r>
    <r>
      <rPr>
        <sz val="11"/>
        <color theme="9" tint="-0.499984740745262"/>
        <rFont val="Calibri"/>
        <family val="2"/>
      </rPr>
      <t xml:space="preserve">  If emissions in a specific category are already 
           accounted for in another category, indicate the 
           category under which those emissions fall.
Please reach out to IWCA with any questions: https://www.iwcawine.org/contact-us
</t>
    </r>
    <r>
      <rPr>
        <b/>
        <sz val="11"/>
        <color theme="9" tint="-0.499984740745262"/>
        <rFont val="Calibri"/>
        <family val="2"/>
      </rPr>
      <t xml:space="preserve">
* </t>
    </r>
    <r>
      <rPr>
        <sz val="11"/>
        <color theme="9" tint="-0.499984740745262"/>
        <rFont val="Calibri"/>
        <family val="2"/>
      </rPr>
      <t>MTCO</t>
    </r>
    <r>
      <rPr>
        <vertAlign val="subscript"/>
        <sz val="11"/>
        <color theme="9" tint="-0.499984740745262"/>
        <rFont val="Calibri"/>
        <family val="2"/>
      </rPr>
      <t>2</t>
    </r>
    <r>
      <rPr>
        <sz val="11"/>
        <color theme="9" tint="-0.499984740745262"/>
        <rFont val="Calibri"/>
        <family val="2"/>
      </rPr>
      <t xml:space="preserve">e stands for "metric tons of carbon dioxide equivalent." The "M" does </t>
    </r>
    <r>
      <rPr>
        <b/>
        <u/>
        <sz val="11"/>
        <color theme="9" tint="-0.499984740745262"/>
        <rFont val="Calibri"/>
        <family val="2"/>
      </rPr>
      <t>not</t>
    </r>
    <r>
      <rPr>
        <sz val="11"/>
        <color theme="9" tint="-0.499984740745262"/>
        <rFont val="Calibri"/>
        <family val="2"/>
      </rPr>
      <t xml:space="preserve"> stand for "Mega."</t>
    </r>
  </si>
  <si>
    <t>Self-generated onsite renewable energy as a % of all energy consumed by the winery (see Row 81 for guidance)</t>
  </si>
  <si>
    <r>
      <t xml:space="preserve">% Renewables in the winery's regional electricity grid (only required if winery is seeking Gold Membership and the value in Cell F31 is less than 20%) </t>
    </r>
    <r>
      <rPr>
        <b/>
        <sz val="11"/>
        <color theme="9" tint="-0.499984740745262"/>
        <rFont val="Calibri"/>
        <family val="2"/>
      </rPr>
      <t xml:space="preserve">Note: The % is calculated from the </t>
    </r>
    <r>
      <rPr>
        <b/>
        <u/>
        <sz val="11"/>
        <color theme="9" tint="-0.499984740745262"/>
        <rFont val="Calibri"/>
        <family val="2"/>
      </rPr>
      <t>entire</t>
    </r>
    <r>
      <rPr>
        <b/>
        <sz val="11"/>
        <color theme="9" tint="-0.499984740745262"/>
        <rFont val="Calibri"/>
        <family val="2"/>
      </rPr>
      <t xml:space="preserve"> regional grid, </t>
    </r>
    <r>
      <rPr>
        <b/>
        <u/>
        <sz val="11"/>
        <color theme="9" tint="-0.499984740745262"/>
        <rFont val="Calibri"/>
        <family val="2"/>
      </rPr>
      <t>not</t>
    </r>
    <r>
      <rPr>
        <b/>
        <sz val="11"/>
        <color theme="9" tint="-0.499984740745262"/>
        <rFont val="Calibri"/>
        <family val="2"/>
      </rPr>
      <t xml:space="preserve"> the winery's electricity supplier.</t>
    </r>
  </si>
  <si>
    <t>Indicate % value and source of data</t>
  </si>
  <si>
    <t>&lt;-- Value populated from Cell E80</t>
  </si>
  <si>
    <r>
      <t xml:space="preserve">Do </t>
    </r>
    <r>
      <rPr>
        <u/>
        <sz val="11"/>
        <color theme="9" tint="-0.499984740745262"/>
        <rFont val="Calibri"/>
        <family val="2"/>
      </rPr>
      <t>not</t>
    </r>
    <r>
      <rPr>
        <sz val="11"/>
        <color theme="9" tint="-0.499984740745262"/>
        <rFont val="Calibri"/>
        <family val="2"/>
      </rPr>
      <t xml:space="preserve"> include carbon removals (see Rows 73-74 and 86-92 on Auditor Worksheet)</t>
    </r>
  </si>
  <si>
    <r>
      <t>Current Year (MTCO</t>
    </r>
    <r>
      <rPr>
        <b/>
        <vertAlign val="subscript"/>
        <sz val="11"/>
        <color theme="9" tint="-0.499984740745262"/>
        <rFont val="Calibri"/>
        <family val="2"/>
      </rPr>
      <t>2</t>
    </r>
    <r>
      <rPr>
        <b/>
        <sz val="11"/>
        <color theme="9" tint="-0.499984740745262"/>
        <rFont val="Calibri"/>
        <family val="2"/>
      </rPr>
      <t>e)*</t>
    </r>
  </si>
  <si>
    <r>
      <t>Baseline Year (MTCO</t>
    </r>
    <r>
      <rPr>
        <b/>
        <vertAlign val="subscript"/>
        <sz val="11"/>
        <color theme="9" tint="-0.499984740745262"/>
        <rFont val="Calibri"/>
        <family val="2"/>
      </rPr>
      <t>2</t>
    </r>
    <r>
      <rPr>
        <b/>
        <sz val="11"/>
        <color theme="9" tint="-0.499984740745262"/>
        <rFont val="Calibri"/>
        <family val="2"/>
      </rPr>
      <t>e)*</t>
    </r>
  </si>
  <si>
    <r>
      <t xml:space="preserve">Any other accountable category 
</t>
    </r>
    <r>
      <rPr>
        <i/>
        <sz val="11"/>
        <color rgb="FF006699"/>
        <rFont val="Calibri"/>
        <family val="2"/>
      </rPr>
      <t>Value calculated in Cell E11 represents the emissions from Biomass Burning (CH</t>
    </r>
    <r>
      <rPr>
        <i/>
        <vertAlign val="subscript"/>
        <sz val="11"/>
        <color rgb="FF006699"/>
        <rFont val="Calibri"/>
        <family val="2"/>
      </rPr>
      <t>4</t>
    </r>
    <r>
      <rPr>
        <i/>
        <sz val="11"/>
        <color rgb="FF006699"/>
        <rFont val="Calibri"/>
        <family val="2"/>
      </rPr>
      <t xml:space="preserve"> and N</t>
    </r>
    <r>
      <rPr>
        <i/>
        <vertAlign val="subscript"/>
        <sz val="11"/>
        <color rgb="FF006699"/>
        <rFont val="Calibri"/>
        <family val="2"/>
      </rPr>
      <t>2</t>
    </r>
    <r>
      <rPr>
        <i/>
        <sz val="11"/>
        <color rgb="FF006699"/>
        <rFont val="Calibri"/>
        <family val="2"/>
      </rPr>
      <t>O). Winery should edit formula if it needs to add any other accountable Scope 1 emissions.</t>
    </r>
  </si>
  <si>
    <r>
      <t xml:space="preserve">Any other accountable category
</t>
    </r>
    <r>
      <rPr>
        <i/>
        <sz val="11"/>
        <color rgb="FF006699"/>
        <rFont val="Calibri"/>
        <family val="2"/>
      </rPr>
      <t>Value calculated in Cell E45 are "Tasting Room Traffic" emissions. Winery should edit the formula in Cell E45 if it needs to add any other accountable Scope 3 emissions.</t>
    </r>
  </si>
  <si>
    <r>
      <t>Current Year (MTCO</t>
    </r>
    <r>
      <rPr>
        <b/>
        <vertAlign val="subscript"/>
        <sz val="10"/>
        <color rgb="FF375623"/>
        <rFont val="Calibri"/>
        <family val="2"/>
      </rPr>
      <t>2</t>
    </r>
    <r>
      <rPr>
        <b/>
        <sz val="10"/>
        <color rgb="FF375623"/>
        <rFont val="Calibri"/>
        <family val="2"/>
      </rPr>
      <t>e)*</t>
    </r>
  </si>
  <si>
    <t>All the inputs noted below must be considered, not necessarily grouped under the same categories but following the below classifications:</t>
  </si>
  <si>
    <t>IWCA Average 
(Small Wineries,
Most Recent Year Past Baseline)</t>
  </si>
  <si>
    <t>IWCA Average 
(Large Wineries,
Most Recent Year Past Baseline)</t>
  </si>
  <si>
    <t>Most Recent Inventory Year  Past Baseline
(varies by winery)</t>
  </si>
  <si>
    <t>• Additional aggregate emissions data for comparison may be available to IWCA wineries. Please reach out to IWCA for more information.</t>
  </si>
  <si>
    <r>
      <t>Scope 1 Emissions (MTCO</t>
    </r>
    <r>
      <rPr>
        <vertAlign val="subscript"/>
        <sz val="11"/>
        <color theme="1"/>
        <rFont val="Calibri"/>
        <family val="2"/>
        <scheme val="minor"/>
      </rPr>
      <t>2</t>
    </r>
    <r>
      <rPr>
        <sz val="11"/>
        <color theme="1"/>
        <rFont val="Calibri"/>
        <family val="2"/>
        <scheme val="minor"/>
      </rPr>
      <t>e)</t>
    </r>
  </si>
  <si>
    <r>
      <t>Scope 2 Emissions (MTCO</t>
    </r>
    <r>
      <rPr>
        <vertAlign val="subscript"/>
        <sz val="11"/>
        <color theme="1"/>
        <rFont val="Calibri"/>
        <family val="2"/>
        <scheme val="minor"/>
      </rPr>
      <t>2</t>
    </r>
    <r>
      <rPr>
        <sz val="11"/>
        <color theme="1"/>
        <rFont val="Calibri"/>
        <family val="2"/>
        <scheme val="minor"/>
      </rPr>
      <t>e)</t>
    </r>
  </si>
  <si>
    <r>
      <t>Scope 3 Emissions (MTCO</t>
    </r>
    <r>
      <rPr>
        <vertAlign val="subscript"/>
        <sz val="11"/>
        <color theme="1"/>
        <rFont val="Calibri"/>
        <family val="2"/>
        <scheme val="minor"/>
      </rPr>
      <t>2</t>
    </r>
    <r>
      <rPr>
        <sz val="11"/>
        <color theme="1"/>
        <rFont val="Calibri"/>
        <family val="2"/>
        <scheme val="minor"/>
      </rPr>
      <t>e)</t>
    </r>
  </si>
  <si>
    <r>
      <t>Total Scopes 1-2-3 Emissions (MTCO</t>
    </r>
    <r>
      <rPr>
        <vertAlign val="subscript"/>
        <sz val="11"/>
        <color theme="1"/>
        <rFont val="Calibri"/>
        <family val="2"/>
        <scheme val="minor"/>
      </rPr>
      <t>2</t>
    </r>
    <r>
      <rPr>
        <sz val="11"/>
        <color theme="1"/>
        <rFont val="Calibri"/>
        <family val="2"/>
        <scheme val="minor"/>
      </rPr>
      <t>e)</t>
    </r>
  </si>
  <si>
    <r>
      <t>Emissions Intensity
(kg CO</t>
    </r>
    <r>
      <rPr>
        <vertAlign val="subscript"/>
        <sz val="11"/>
        <color theme="1"/>
        <rFont val="Calibri"/>
        <family val="2"/>
        <scheme val="minor"/>
      </rPr>
      <t>2</t>
    </r>
    <r>
      <rPr>
        <sz val="11"/>
        <color theme="1"/>
        <rFont val="Calibri"/>
        <family val="2"/>
        <scheme val="minor"/>
      </rPr>
      <t>/liter)</t>
    </r>
  </si>
  <si>
    <r>
      <t xml:space="preserve">• The "GHG Emissions Breakdown" tab and the "Auditor Worksheet" tab must be completed before the "IWCA Comparison" tables (below) and the charts (below and to the right) in this tab display properly. Because data in the "Auditor Worksheet" is either Location-Based or Market-Based, only Location-Based </t>
    </r>
    <r>
      <rPr>
        <b/>
        <u/>
        <sz val="11"/>
        <color theme="1"/>
        <rFont val="Calibri"/>
        <family val="2"/>
        <scheme val="minor"/>
      </rPr>
      <t>or</t>
    </r>
    <r>
      <rPr>
        <sz val="11"/>
        <color theme="1"/>
        <rFont val="Calibri"/>
        <family val="2"/>
        <scheme val="minor"/>
      </rPr>
      <t xml:space="preserve"> Market-Based data will populate in the tables and graphs.</t>
    </r>
  </si>
  <si>
    <r>
      <t xml:space="preserve">• For the purposes of comparison, Production Volume does </t>
    </r>
    <r>
      <rPr>
        <b/>
        <u/>
        <sz val="11"/>
        <color theme="1"/>
        <rFont val="Calibri"/>
        <family val="2"/>
        <scheme val="minor"/>
      </rPr>
      <t>not</t>
    </r>
    <r>
      <rPr>
        <sz val="11"/>
        <color theme="1"/>
        <rFont val="Calibri"/>
        <family val="2"/>
        <scheme val="minor"/>
      </rPr>
      <t xml:space="preserve"> differentiate between "liters bottled" and "liters fermented". In reality, wineries measure production by either liters bottled or fermented.</t>
    </r>
  </si>
  <si>
    <r>
      <t xml:space="preserve">• </t>
    </r>
    <r>
      <rPr>
        <sz val="11"/>
        <color theme="1"/>
        <rFont val="Calibri"/>
        <family val="2"/>
        <scheme val="minor"/>
      </rPr>
      <t>Production Volume and all absolute emissions data is based on average values. Emissions intensity values are based on weighted average values.</t>
    </r>
  </si>
  <si>
    <r>
      <t xml:space="preserve">• Total Scopes 1-2-3 Emissions and Emissions Intensity values are calculated </t>
    </r>
    <r>
      <rPr>
        <b/>
        <i/>
        <sz val="11"/>
        <color theme="1"/>
        <rFont val="Calibri"/>
        <family val="2"/>
        <scheme val="minor"/>
      </rPr>
      <t>after</t>
    </r>
    <r>
      <rPr>
        <sz val="11"/>
        <color theme="1"/>
        <rFont val="Calibri"/>
        <family val="2"/>
        <scheme val="minor"/>
      </rPr>
      <t>accounting for carbon removals/insets.</t>
    </r>
  </si>
  <si>
    <t>Data based on 15 wineries</t>
  </si>
  <si>
    <t>Data based on 17 wineries</t>
  </si>
  <si>
    <t>Data based on 8 wineries</t>
  </si>
  <si>
    <r>
      <t xml:space="preserve">IWCA Comparison - Location Based Emissions </t>
    </r>
    <r>
      <rPr>
        <i/>
        <sz val="18"/>
        <color theme="7" tint="0.59999389629810485"/>
        <rFont val="Calibri"/>
        <family val="2"/>
        <scheme val="minor"/>
      </rPr>
      <t>(based on data submitted to IWCA thru Feb 2024)</t>
    </r>
  </si>
  <si>
    <r>
      <t xml:space="preserve">IWCA Comparison - Market Based Emissions </t>
    </r>
    <r>
      <rPr>
        <i/>
        <sz val="18"/>
        <color theme="7" tint="0.59999389629810485"/>
        <rFont val="Calibri"/>
        <family val="2"/>
        <scheme val="minor"/>
      </rPr>
      <t>(based on data submitted to IWCA thru Feb 2024)</t>
    </r>
  </si>
  <si>
    <t>Important Details for IWCA Comparison Tables and Charts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</si>
</sst>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_(&quot;$&quot;* #,##0.00_);_(&quot;$&quot;* \(#,##0.00\);_(&quot;$&quot;* &quot;-&quot;??_);_(@_)"/>
    <numFmt numFmtId="165" formatCode="_(* #,##0.00_);_(* \(#,##0.00\);_(* &quot;-&quot;??_);_(@_)"/>
    <numFmt numFmtId="166" formatCode="#,##0.0000"/>
    <numFmt numFmtId="167" formatCode="_(* #,##0_);_(* \(#,##0\);_(* &quot;-&quot;??_);_(@_)"/>
    <numFmt numFmtId="168" formatCode="_(* #,##0.0_);_(* \(#,##0.0\);_(* &quot;-&quot;??_);_(@_)"/>
    <numFmt numFmtId="169" formatCode="0.00000"/>
    <numFmt numFmtId="170" formatCode="_([$$-409]* #,##0.00_);_([$$-409]* \(#,##0.00\);_([$$-409]* &quot;-&quot;??_);_(@_)"/>
    <numFmt numFmtId="171" formatCode="[$-10409]&quot;$&quot;#,##0.00;\(&quot;$&quot;#,##0.00\)"/>
    <numFmt numFmtId="172" formatCode="#,##0.000"/>
    <numFmt numFmtId="173" formatCode="0.000"/>
    <numFmt numFmtId="174" formatCode="0.0%"/>
    <numFmt numFmtId="175" formatCode="0_);\(0\)"/>
    <numFmt numFmtId="176" formatCode="_(* #,##0.0000_);_(* \(#,##0.0000\);_(* &quot;-&quot;??_);_(@_)"/>
    <numFmt numFmtId="177" formatCode="General_)"/>
    <numFmt numFmtId="178" formatCode="0.0"/>
    <numFmt numFmtId="179" formatCode="0.0000000"/>
    <numFmt numFmtId="180" formatCode="0.000000"/>
    <numFmt numFmtId="181" formatCode="0.0000"/>
    <numFmt numFmtId="182" formatCode="#,##0.0"/>
    <numFmt numFmtId="183" formatCode="_-* #,##0.00_-;\-* #,##0.00_-;_-* &quot;-&quot;??_-;_-@_-"/>
    <numFmt numFmtId="184" formatCode="_-* #,##0_-;\-* #,##0_-;_-* &quot;-&quot;??_-;_-@_-"/>
    <numFmt numFmtId="185" formatCode="_-* #,##0.0_-;\-* #,##0.0_-;_-* &quot;-&quot;?_-;_-@_-"/>
    <numFmt numFmtId="186" formatCode="_-* #,##0.000_-;\-* #,##0.000_-;_-* &quot;-&quot;??_-;_-@_-"/>
    <numFmt numFmtId="187" formatCode="_-* #,##0.0000_-;\-* #,##0.0000_-;_-* &quot;-&quot;??_-;_-@_-"/>
    <numFmt numFmtId="188" formatCode="_-* #,##0.00000_-;\-* #,##0.00000_-;_-* &quot;-&quot;??_-;_-@_-"/>
    <numFmt numFmtId="189" formatCode="[$-409]d\-mmm\-yy;@"/>
    <numFmt numFmtId="190" formatCode="_(* #,##0.00000_);_(* \(#,##0.00000\);_(* &quot;-&quot;??_);_(@_)"/>
    <numFmt numFmtId="191" formatCode="0;\-0;\—;@"/>
    <numFmt numFmtId="192" formatCode="#,##0.000000"/>
  </numFmts>
  <fonts count="233" x14ac:knownFonts="1">
    <font>
      <sz val="11"/>
      <color theme="1"/>
      <name val="Calibri"/>
      <family val="2"/>
      <scheme val="minor"/>
    </font>
    <font>
      <sz val="12"/>
      <color theme="1"/>
      <name val="Calibri"/>
      <family val="2"/>
      <scheme val="minor"/>
    </font>
    <font>
      <u/>
      <sz val="11"/>
      <color theme="10"/>
      <name val="Calibri"/>
      <family val="2"/>
      <scheme val="minor"/>
    </font>
    <font>
      <sz val="10"/>
      <name val="Arial"/>
      <family val="2"/>
    </font>
    <font>
      <b/>
      <sz val="10"/>
      <name val="Arial"/>
      <family val="2"/>
    </font>
    <font>
      <sz val="11"/>
      <color theme="1"/>
      <name val="Calibri"/>
      <family val="2"/>
      <scheme val="minor"/>
    </font>
    <font>
      <b/>
      <sz val="11"/>
      <color theme="1"/>
      <name val="Calibri"/>
      <family val="2"/>
      <scheme val="minor"/>
    </font>
    <font>
      <sz val="10"/>
      <color indexed="8"/>
      <name val="Arial"/>
      <family val="2"/>
    </font>
    <font>
      <b/>
      <sz val="12"/>
      <color theme="1"/>
      <name val="Calibri"/>
      <family val="2"/>
      <scheme val="minor"/>
    </font>
    <font>
      <b/>
      <sz val="14"/>
      <color theme="1"/>
      <name val="Calibri"/>
      <family val="2"/>
      <scheme val="minor"/>
    </font>
    <font>
      <b/>
      <i/>
      <sz val="11"/>
      <color rgb="FFFF0000"/>
      <name val="Calibri"/>
      <family val="2"/>
      <scheme val="minor"/>
    </font>
    <font>
      <b/>
      <sz val="10"/>
      <name val="Calibri"/>
      <family val="2"/>
      <scheme val="minor"/>
    </font>
    <font>
      <b/>
      <sz val="8"/>
      <name val="Calibri"/>
      <family val="2"/>
      <scheme val="minor"/>
    </font>
    <font>
      <b/>
      <sz val="11"/>
      <name val="Calibri"/>
      <family val="2"/>
      <scheme val="minor"/>
    </font>
    <font>
      <b/>
      <sz val="16"/>
      <color theme="1"/>
      <name val="Calibri"/>
      <family val="2"/>
      <scheme val="minor"/>
    </font>
    <font>
      <b/>
      <i/>
      <sz val="10"/>
      <color rgb="FFFF0000"/>
      <name val="Calibri"/>
      <family val="2"/>
      <scheme val="minor"/>
    </font>
    <font>
      <sz val="11"/>
      <name val="Calibri"/>
      <family val="2"/>
      <scheme val="minor"/>
    </font>
    <font>
      <i/>
      <sz val="11"/>
      <color rgb="FFFF0000"/>
      <name val="Calibri"/>
      <family val="2"/>
      <scheme val="minor"/>
    </font>
    <font>
      <b/>
      <vertAlign val="subscript"/>
      <sz val="10"/>
      <name val="Arial"/>
      <family val="2"/>
    </font>
    <font>
      <b/>
      <i/>
      <sz val="12"/>
      <color theme="1"/>
      <name val="Calibri"/>
      <family val="2"/>
      <scheme val="minor"/>
    </font>
    <font>
      <b/>
      <sz val="18"/>
      <color theme="1"/>
      <name val="Calibri"/>
      <family val="2"/>
      <scheme val="minor"/>
    </font>
    <font>
      <sz val="10"/>
      <color theme="1"/>
      <name val="Arial"/>
      <family val="2"/>
    </font>
    <font>
      <sz val="10"/>
      <color theme="1"/>
      <name val="Calibri"/>
      <family val="2"/>
      <scheme val="minor"/>
    </font>
    <font>
      <b/>
      <sz val="12"/>
      <name val="Calibri"/>
      <family val="2"/>
      <scheme val="minor"/>
    </font>
    <font>
      <b/>
      <sz val="12"/>
      <color indexed="8"/>
      <name val="Calibri"/>
      <family val="2"/>
      <scheme val="minor"/>
    </font>
    <font>
      <sz val="12"/>
      <name val="Calibri"/>
      <family val="2"/>
      <scheme val="minor"/>
    </font>
    <font>
      <sz val="10"/>
      <name val="Arial"/>
      <family val="2"/>
    </font>
    <font>
      <b/>
      <i/>
      <sz val="10"/>
      <name val="Arial"/>
      <family val="2"/>
    </font>
    <font>
      <b/>
      <sz val="14"/>
      <name val="Calibri"/>
      <family val="2"/>
      <scheme val="minor"/>
    </font>
    <font>
      <sz val="11"/>
      <color indexed="8"/>
      <name val="Calibri"/>
      <family val="2"/>
    </font>
    <font>
      <sz val="14"/>
      <color theme="1"/>
      <name val="Calibri"/>
      <family val="2"/>
      <scheme val="minor"/>
    </font>
    <font>
      <i/>
      <sz val="11"/>
      <color theme="1"/>
      <name val="Calibri"/>
      <family val="2"/>
      <scheme val="minor"/>
    </font>
    <font>
      <u/>
      <sz val="11"/>
      <color theme="1"/>
      <name val="Calibri"/>
      <family val="2"/>
      <scheme val="minor"/>
    </font>
    <font>
      <b/>
      <u/>
      <sz val="14"/>
      <color theme="1"/>
      <name val="Calibri"/>
      <family val="2"/>
      <scheme val="minor"/>
    </font>
    <font>
      <b/>
      <sz val="12"/>
      <color theme="4"/>
      <name val="Calibri"/>
      <family val="2"/>
      <scheme val="minor"/>
    </font>
    <font>
      <sz val="9"/>
      <color theme="1"/>
      <name val="Calibri"/>
      <family val="2"/>
      <scheme val="minor"/>
    </font>
    <font>
      <b/>
      <sz val="9"/>
      <color theme="1"/>
      <name val="Calibri"/>
      <family val="2"/>
      <scheme val="minor"/>
    </font>
    <font>
      <u/>
      <sz val="10"/>
      <color theme="4"/>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i/>
      <sz val="11"/>
      <name val="Calibri"/>
      <family val="2"/>
      <scheme val="minor"/>
    </font>
    <font>
      <b/>
      <sz val="12"/>
      <color theme="0"/>
      <name val="Calibri"/>
      <family val="2"/>
      <scheme val="minor"/>
    </font>
    <font>
      <b/>
      <sz val="14"/>
      <color rgb="FFFF0000"/>
      <name val="Calibri"/>
      <family val="2"/>
      <scheme val="minor"/>
    </font>
    <font>
      <u/>
      <sz val="11"/>
      <color rgb="FFFF0000"/>
      <name val="Calibri"/>
      <family val="2"/>
      <scheme val="minor"/>
    </font>
    <font>
      <sz val="18"/>
      <color theme="0"/>
      <name val="Calibri"/>
      <family val="2"/>
      <scheme val="minor"/>
    </font>
    <font>
      <u/>
      <sz val="10"/>
      <color theme="10"/>
      <name val="Arial"/>
      <family val="2"/>
    </font>
    <font>
      <sz val="12"/>
      <color theme="1"/>
      <name val="Arial"/>
      <family val="2"/>
    </font>
    <font>
      <b/>
      <sz val="28"/>
      <color theme="0"/>
      <name val="Calibri"/>
      <family val="2"/>
      <scheme val="minor"/>
    </font>
    <font>
      <b/>
      <sz val="12"/>
      <color rgb="FFFF0000"/>
      <name val="Calibri"/>
      <family val="2"/>
      <scheme val="minor"/>
    </font>
    <font>
      <b/>
      <u/>
      <sz val="12"/>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1"/>
      <name val="Calibri"/>
      <family val="2"/>
    </font>
    <font>
      <b/>
      <u/>
      <sz val="11"/>
      <color theme="1"/>
      <name val="Calibri"/>
      <family val="2"/>
      <scheme val="minor"/>
    </font>
    <font>
      <sz val="9"/>
      <color indexed="81"/>
      <name val="Tahoma"/>
      <family val="2"/>
    </font>
    <font>
      <b/>
      <sz val="9"/>
      <color indexed="81"/>
      <name val="Tahoma"/>
      <family val="2"/>
    </font>
    <font>
      <i/>
      <sz val="9"/>
      <color rgb="FFFF0000"/>
      <name val="Calibri"/>
      <family val="2"/>
      <scheme val="minor"/>
    </font>
    <font>
      <b/>
      <i/>
      <sz val="11"/>
      <color theme="1"/>
      <name val="Calibri"/>
      <family val="2"/>
      <scheme val="minor"/>
    </font>
    <font>
      <i/>
      <sz val="10"/>
      <color rgb="FFFF0000"/>
      <name val="Calibri"/>
      <family val="2"/>
      <scheme val="minor"/>
    </font>
    <font>
      <b/>
      <sz val="16"/>
      <name val="Calibri"/>
      <family val="2"/>
      <scheme val="minor"/>
    </font>
    <font>
      <sz val="10"/>
      <name val="Calibri"/>
      <family val="2"/>
      <scheme val="minor"/>
    </font>
    <font>
      <b/>
      <sz val="11"/>
      <color rgb="FF000000"/>
      <name val="Calibri"/>
      <family val="2"/>
      <scheme val="minor"/>
    </font>
    <font>
      <b/>
      <sz val="24"/>
      <color rgb="FF002060"/>
      <name val="Calibri"/>
      <family val="2"/>
      <scheme val="minor"/>
    </font>
    <font>
      <sz val="11"/>
      <color rgb="FF9C6500"/>
      <name val="Calibri"/>
      <family val="2"/>
      <scheme val="minor"/>
    </font>
    <font>
      <b/>
      <sz val="11"/>
      <color rgb="FFFF0000"/>
      <name val="Calibri"/>
      <family val="2"/>
      <scheme val="minor"/>
    </font>
    <font>
      <b/>
      <sz val="12"/>
      <color rgb="FF000000"/>
      <name val="Calibri"/>
      <family val="2"/>
      <scheme val="minor"/>
    </font>
    <font>
      <sz val="11"/>
      <color rgb="FF000000"/>
      <name val="Calibri"/>
      <family val="2"/>
      <scheme val="minor"/>
    </font>
    <font>
      <b/>
      <sz val="20"/>
      <color theme="1"/>
      <name val="Calibri"/>
      <family val="2"/>
      <scheme val="minor"/>
    </font>
    <font>
      <i/>
      <sz val="11"/>
      <color rgb="FF000000"/>
      <name val="Calibri"/>
      <family val="2"/>
      <scheme val="minor"/>
    </font>
    <font>
      <sz val="10"/>
      <name val="Verdana"/>
      <family val="2"/>
    </font>
    <font>
      <sz val="10"/>
      <color rgb="FFFF0000"/>
      <name val="Arial"/>
      <family val="2"/>
    </font>
    <font>
      <vertAlign val="superscript"/>
      <sz val="10"/>
      <name val="Arial"/>
      <family val="2"/>
    </font>
    <font>
      <sz val="18"/>
      <name val="Calibri"/>
      <family val="2"/>
      <scheme val="minor"/>
    </font>
    <font>
      <vertAlign val="subscript"/>
      <sz val="12"/>
      <color theme="1"/>
      <name val="Calibri"/>
      <family val="2"/>
      <scheme val="minor"/>
    </font>
    <font>
      <b/>
      <vertAlign val="subscript"/>
      <sz val="11"/>
      <color theme="1"/>
      <name val="Calibri"/>
      <family val="2"/>
      <scheme val="minor"/>
    </font>
    <font>
      <b/>
      <vertAlign val="subscript"/>
      <sz val="11"/>
      <name val="Calibri"/>
      <family val="2"/>
      <scheme val="minor"/>
    </font>
    <font>
      <vertAlign val="subscript"/>
      <sz val="11"/>
      <name val="Calibri"/>
      <family val="2"/>
      <scheme val="minor"/>
    </font>
    <font>
      <u/>
      <sz val="11"/>
      <color theme="5"/>
      <name val="Calibri"/>
      <family val="2"/>
      <scheme val="minor"/>
    </font>
    <font>
      <sz val="11"/>
      <color theme="5"/>
      <name val="Calibri"/>
      <family val="2"/>
      <scheme val="minor"/>
    </font>
    <font>
      <vertAlign val="subscript"/>
      <sz val="11"/>
      <color rgb="FF000000"/>
      <name val="Calibri"/>
      <family val="2"/>
      <scheme val="minor"/>
    </font>
    <font>
      <sz val="8"/>
      <color rgb="FF0C3086"/>
      <name val="Arial"/>
      <family val="2"/>
    </font>
    <font>
      <b/>
      <i/>
      <sz val="12"/>
      <color rgb="FFFF0000"/>
      <name val="Calibri"/>
      <family val="2"/>
      <scheme val="minor"/>
    </font>
    <font>
      <u/>
      <sz val="12"/>
      <color rgb="FFFF0000"/>
      <name val="Calibri"/>
      <family val="2"/>
      <scheme val="minor"/>
    </font>
    <font>
      <i/>
      <sz val="12"/>
      <color rgb="FFFF0000"/>
      <name val="Calibri"/>
      <family val="2"/>
      <scheme val="minor"/>
    </font>
    <font>
      <sz val="12"/>
      <color rgb="FFFF0000"/>
      <name val="Calibri"/>
      <family val="2"/>
      <scheme val="minor"/>
    </font>
    <font>
      <b/>
      <sz val="18"/>
      <color theme="0"/>
      <name val="Calibri"/>
      <family val="2"/>
      <scheme val="minor"/>
    </font>
    <font>
      <sz val="18"/>
      <color theme="1"/>
      <name val="Calibri"/>
      <family val="2"/>
      <scheme val="minor"/>
    </font>
    <font>
      <sz val="20"/>
      <color theme="1"/>
      <name val="Calibri"/>
      <family val="2"/>
      <scheme val="minor"/>
    </font>
    <font>
      <sz val="28"/>
      <color theme="1"/>
      <name val="Calibri"/>
      <family val="2"/>
      <scheme val="minor"/>
    </font>
    <font>
      <b/>
      <sz val="18"/>
      <name val="Calibri"/>
      <family val="2"/>
      <scheme val="minor"/>
    </font>
    <font>
      <b/>
      <sz val="18"/>
      <color rgb="FFFF0000"/>
      <name val="Calibri"/>
      <family val="2"/>
      <scheme val="minor"/>
    </font>
    <font>
      <u/>
      <sz val="18"/>
      <color rgb="FFFF0000"/>
      <name val="Calibri"/>
      <family val="2"/>
      <scheme val="minor"/>
    </font>
    <font>
      <b/>
      <sz val="18"/>
      <color indexed="8"/>
      <name val="Calibri"/>
      <family val="2"/>
      <scheme val="minor"/>
    </font>
    <font>
      <b/>
      <vertAlign val="subscript"/>
      <sz val="12"/>
      <name val="Calibri"/>
      <family val="2"/>
      <scheme val="minor"/>
    </font>
    <font>
      <sz val="20"/>
      <name val="Calibri"/>
      <family val="2"/>
      <scheme val="minor"/>
    </font>
    <font>
      <sz val="28"/>
      <name val="Calibri"/>
      <family val="2"/>
      <scheme val="minor"/>
    </font>
    <font>
      <b/>
      <sz val="20"/>
      <color rgb="FFFF0000"/>
      <name val="Calibri"/>
      <family val="2"/>
      <scheme val="minor"/>
    </font>
    <font>
      <i/>
      <sz val="18"/>
      <color rgb="FFFF0000"/>
      <name val="Calibri"/>
      <family val="2"/>
      <scheme val="minor"/>
    </font>
    <font>
      <u/>
      <sz val="12"/>
      <color theme="10"/>
      <name val="Calibri"/>
      <family val="2"/>
      <scheme val="minor"/>
    </font>
    <font>
      <i/>
      <sz val="12"/>
      <color theme="1"/>
      <name val="Calibri"/>
      <family val="2"/>
      <scheme val="minor"/>
    </font>
    <font>
      <vertAlign val="subscript"/>
      <sz val="14"/>
      <color rgb="FF000000"/>
      <name val="Calibri"/>
      <family val="2"/>
      <scheme val="minor"/>
    </font>
    <font>
      <sz val="14"/>
      <color rgb="FF000000"/>
      <name val="Calibri"/>
      <family val="2"/>
      <scheme val="minor"/>
    </font>
    <font>
      <sz val="16"/>
      <color theme="1"/>
      <name val="Calibri"/>
      <family val="2"/>
      <scheme val="minor"/>
    </font>
    <font>
      <b/>
      <sz val="14"/>
      <color rgb="FF000000"/>
      <name val="Calibri"/>
      <family val="2"/>
      <scheme val="minor"/>
    </font>
    <font>
      <sz val="14"/>
      <color rgb="FFFF0000"/>
      <name val="Calibri"/>
      <family val="2"/>
      <scheme val="minor"/>
    </font>
    <font>
      <i/>
      <sz val="14"/>
      <color rgb="FFFF0000"/>
      <name val="Calibri"/>
      <family val="2"/>
      <scheme val="minor"/>
    </font>
    <font>
      <sz val="12"/>
      <color rgb="FF000000"/>
      <name val="Calibri"/>
      <family val="2"/>
      <scheme val="minor"/>
    </font>
    <font>
      <b/>
      <i/>
      <sz val="18"/>
      <color rgb="FFFF0000"/>
      <name val="Calibri"/>
      <family val="2"/>
      <scheme val="minor"/>
    </font>
    <font>
      <sz val="9"/>
      <color rgb="FF000000"/>
      <name val="Calibri"/>
      <family val="2"/>
      <scheme val="minor"/>
    </font>
    <font>
      <sz val="12"/>
      <color indexed="8"/>
      <name val="Calibri"/>
      <family val="2"/>
      <scheme val="minor"/>
    </font>
    <font>
      <sz val="18"/>
      <color rgb="FF000000"/>
      <name val="Calibri"/>
      <family val="2"/>
      <scheme val="minor"/>
    </font>
    <font>
      <sz val="8"/>
      <color theme="1"/>
      <name val="Arial"/>
      <family val="2"/>
    </font>
    <font>
      <b/>
      <sz val="9"/>
      <color theme="1"/>
      <name val="Arial"/>
      <family val="2"/>
    </font>
    <font>
      <sz val="9"/>
      <color theme="1"/>
      <name val="Arial"/>
      <family val="2"/>
    </font>
    <font>
      <b/>
      <sz val="8"/>
      <color theme="1"/>
      <name val="Arial"/>
      <family val="2"/>
    </font>
    <font>
      <b/>
      <vertAlign val="subscript"/>
      <sz val="8"/>
      <color theme="1"/>
      <name val="Arial"/>
      <family val="2"/>
    </font>
    <font>
      <vertAlign val="subscript"/>
      <sz val="9"/>
      <color theme="1"/>
      <name val="Arial"/>
      <family val="2"/>
    </font>
    <font>
      <sz val="9"/>
      <color rgb="FF000000"/>
      <name val="Arial"/>
      <family val="2"/>
    </font>
    <font>
      <b/>
      <i/>
      <sz val="9"/>
      <color theme="1"/>
      <name val="Arial"/>
      <family val="2"/>
    </font>
    <font>
      <b/>
      <sz val="36"/>
      <color theme="9" tint="-0.499984740745262"/>
      <name val="Calibri"/>
      <family val="2"/>
    </font>
    <font>
      <sz val="11"/>
      <color theme="9" tint="-0.499984740745262"/>
      <name val="Calibri"/>
      <family val="2"/>
    </font>
    <font>
      <b/>
      <sz val="20"/>
      <color theme="0"/>
      <name val="Calibri"/>
      <family val="2"/>
    </font>
    <font>
      <sz val="12"/>
      <color theme="0"/>
      <name val="Calibri"/>
      <family val="2"/>
    </font>
    <font>
      <b/>
      <sz val="11"/>
      <color theme="9" tint="-0.499984740745262"/>
      <name val="Calibri"/>
      <family val="2"/>
    </font>
    <font>
      <i/>
      <u/>
      <sz val="11"/>
      <color theme="9" tint="-0.499984740745262"/>
      <name val="Calibri"/>
      <family val="2"/>
    </font>
    <font>
      <i/>
      <sz val="11"/>
      <color theme="9" tint="-0.499984740745262"/>
      <name val="Calibri"/>
      <family val="2"/>
    </font>
    <font>
      <vertAlign val="subscript"/>
      <sz val="11"/>
      <color theme="9" tint="-0.499984740745262"/>
      <name val="Calibri"/>
      <family val="2"/>
    </font>
    <font>
      <i/>
      <sz val="11"/>
      <color rgb="FF006699"/>
      <name val="Calibri"/>
      <family val="2"/>
    </font>
    <font>
      <i/>
      <vertAlign val="subscript"/>
      <sz val="11"/>
      <color rgb="FF006699"/>
      <name val="Calibri"/>
      <family val="2"/>
    </font>
    <font>
      <i/>
      <sz val="12"/>
      <color rgb="FFFF0000"/>
      <name val="Calibri"/>
      <family val="2"/>
    </font>
    <font>
      <sz val="11"/>
      <color rgb="FF006699"/>
      <name val="Calibri"/>
      <family val="2"/>
    </font>
    <font>
      <i/>
      <sz val="11"/>
      <color rgb="FFFF0000"/>
      <name val="Calibri"/>
      <family val="2"/>
    </font>
    <font>
      <b/>
      <sz val="18"/>
      <color theme="9" tint="-0.499984740745262"/>
      <name val="Calibri"/>
      <family val="2"/>
    </font>
    <font>
      <b/>
      <sz val="16"/>
      <color theme="0"/>
      <name val="Calibri"/>
      <family val="2"/>
    </font>
    <font>
      <b/>
      <vertAlign val="subscript"/>
      <sz val="16"/>
      <color theme="0"/>
      <name val="Calibri"/>
      <family val="2"/>
    </font>
    <font>
      <b/>
      <i/>
      <sz val="10"/>
      <color theme="9" tint="-0.499984740745262"/>
      <name val="Calibri"/>
      <family val="2"/>
    </font>
    <font>
      <i/>
      <sz val="10"/>
      <color theme="9" tint="-0.499984740745262"/>
      <name val="Calibri"/>
      <family val="2"/>
    </font>
    <font>
      <b/>
      <u/>
      <sz val="14"/>
      <color rgb="FF376189"/>
      <name val="Calibri"/>
      <family val="2"/>
    </font>
    <font>
      <sz val="11"/>
      <color theme="9" tint="-0.499984740745262"/>
      <name val="Wingdings"/>
      <charset val="2"/>
    </font>
    <font>
      <b/>
      <u/>
      <sz val="11"/>
      <color theme="9" tint="-0.499984740745262"/>
      <name val="Calibri"/>
      <family val="2"/>
    </font>
    <font>
      <b/>
      <sz val="24"/>
      <color theme="9" tint="-0.499984740745262"/>
      <name val="Calibri"/>
      <family val="2"/>
    </font>
    <font>
      <u/>
      <sz val="11"/>
      <color theme="9" tint="-0.499984740745262"/>
      <name val="Calibri"/>
      <family val="2"/>
    </font>
    <font>
      <b/>
      <sz val="12"/>
      <color theme="0"/>
      <name val="Calibri"/>
      <family val="2"/>
    </font>
    <font>
      <b/>
      <sz val="16"/>
      <color rgb="FFFFFFFF"/>
      <name val="Calibri"/>
      <family val="2"/>
    </font>
    <font>
      <sz val="16"/>
      <color theme="0"/>
      <name val="Calibri"/>
      <family val="2"/>
    </font>
    <font>
      <b/>
      <u/>
      <sz val="14"/>
      <name val="Calibri"/>
      <family val="2"/>
    </font>
    <font>
      <b/>
      <sz val="14"/>
      <name val="Calibri"/>
      <family val="2"/>
    </font>
    <font>
      <b/>
      <sz val="16"/>
      <name val="Calibri"/>
      <family val="2"/>
    </font>
    <font>
      <sz val="11"/>
      <name val="Calibri"/>
      <family val="2"/>
    </font>
    <font>
      <sz val="14"/>
      <color theme="9" tint="-0.499984740745262"/>
      <name val="Calibri"/>
      <family val="2"/>
    </font>
    <font>
      <b/>
      <sz val="14"/>
      <color theme="9" tint="-0.499984740745262"/>
      <name val="Calibri"/>
      <family val="2"/>
    </font>
    <font>
      <b/>
      <u/>
      <sz val="14"/>
      <color theme="9" tint="-0.499984740745262"/>
      <name val="Calibri"/>
      <family val="2"/>
    </font>
    <font>
      <sz val="11"/>
      <color rgb="FF002060"/>
      <name val="Calibri"/>
      <family val="2"/>
      <scheme val="minor"/>
    </font>
    <font>
      <b/>
      <sz val="24"/>
      <color theme="0"/>
      <name val="Calibri"/>
      <family val="2"/>
      <scheme val="minor"/>
    </font>
    <font>
      <b/>
      <vertAlign val="subscript"/>
      <sz val="12"/>
      <color theme="1"/>
      <name val="Calibri"/>
      <family val="2"/>
      <scheme val="minor"/>
    </font>
    <font>
      <b/>
      <sz val="36"/>
      <color rgb="FFFFFFFF"/>
      <name val="Calibri"/>
      <family val="2"/>
    </font>
    <font>
      <b/>
      <sz val="28"/>
      <color theme="1"/>
      <name val="Calibri"/>
      <family val="2"/>
      <scheme val="minor"/>
    </font>
    <font>
      <b/>
      <sz val="16"/>
      <color rgb="FFFFFFFF"/>
      <name val="Calibri"/>
      <family val="2"/>
      <scheme val="minor"/>
    </font>
    <font>
      <i/>
      <sz val="12"/>
      <color rgb="FF000000"/>
      <name val="Calibri"/>
      <family val="2"/>
      <scheme val="minor"/>
    </font>
    <font>
      <i/>
      <sz val="16"/>
      <color rgb="FFFF0000"/>
      <name val="Calibri"/>
      <family val="2"/>
      <scheme val="minor"/>
    </font>
    <font>
      <b/>
      <i/>
      <sz val="24"/>
      <color theme="0"/>
      <name val="Calibri"/>
      <family val="2"/>
      <scheme val="minor"/>
    </font>
    <font>
      <sz val="24"/>
      <color theme="1"/>
      <name val="Calibri"/>
      <family val="2"/>
      <scheme val="minor"/>
    </font>
    <font>
      <i/>
      <sz val="10"/>
      <color rgb="FFFF0000"/>
      <name val="Calibri"/>
      <family val="2"/>
    </font>
    <font>
      <b/>
      <sz val="24"/>
      <color rgb="FFFFFFFF"/>
      <name val="Calibri"/>
      <family val="2"/>
      <scheme val="minor"/>
    </font>
    <font>
      <vertAlign val="superscript"/>
      <sz val="12"/>
      <name val="Calibri"/>
      <family val="2"/>
      <scheme val="minor"/>
    </font>
    <font>
      <sz val="24"/>
      <color theme="0"/>
      <name val="Calibri"/>
      <family val="2"/>
      <scheme val="minor"/>
    </font>
    <font>
      <b/>
      <vertAlign val="superscript"/>
      <sz val="11"/>
      <color theme="1"/>
      <name val="Calibri"/>
      <family val="2"/>
      <scheme val="minor"/>
    </font>
    <font>
      <b/>
      <sz val="10"/>
      <color rgb="FF000000"/>
      <name val="Trebuchet MS"/>
      <family val="2"/>
    </font>
    <font>
      <sz val="10"/>
      <name val="Trebuchet MS"/>
      <family val="2"/>
    </font>
    <font>
      <sz val="12"/>
      <color rgb="FFC00000"/>
      <name val="Calibri"/>
      <family val="2"/>
      <scheme val="minor"/>
    </font>
    <font>
      <vertAlign val="superscript"/>
      <sz val="11"/>
      <color theme="1"/>
      <name val="Calibri"/>
      <family val="2"/>
      <scheme val="minor"/>
    </font>
    <font>
      <b/>
      <u/>
      <sz val="18"/>
      <name val="Calibri"/>
      <family val="2"/>
      <scheme val="minor"/>
    </font>
    <font>
      <b/>
      <u/>
      <sz val="15"/>
      <name val="Calibri"/>
      <family val="2"/>
      <scheme val="minor"/>
    </font>
    <font>
      <sz val="15"/>
      <name val="Calibri"/>
      <family val="2"/>
      <scheme val="minor"/>
    </font>
    <font>
      <i/>
      <sz val="12"/>
      <name val="Calibri"/>
      <family val="2"/>
      <scheme val="minor"/>
    </font>
    <font>
      <b/>
      <i/>
      <sz val="14"/>
      <color theme="0"/>
      <name val="Calibri"/>
      <family val="2"/>
      <scheme val="minor"/>
    </font>
    <font>
      <b/>
      <i/>
      <sz val="14"/>
      <color theme="1"/>
      <name val="Calibri"/>
      <family val="2"/>
      <scheme val="minor"/>
    </font>
    <font>
      <vertAlign val="subscript"/>
      <sz val="11"/>
      <color theme="1"/>
      <name val="Calibri"/>
      <family val="2"/>
      <scheme val="minor"/>
    </font>
    <font>
      <sz val="10"/>
      <color rgb="FFFF0000"/>
      <name val="Calibri"/>
      <family val="2"/>
    </font>
    <font>
      <b/>
      <i/>
      <sz val="14"/>
      <color rgb="FFFF0000"/>
      <name val="Calibri"/>
      <family val="2"/>
      <scheme val="minor"/>
    </font>
    <font>
      <b/>
      <i/>
      <u/>
      <sz val="14"/>
      <color rgb="FFFF0000"/>
      <name val="Calibri"/>
      <family val="2"/>
      <scheme val="minor"/>
    </font>
    <font>
      <b/>
      <sz val="16"/>
      <color rgb="FF006699"/>
      <name val="Calibri"/>
      <family val="2"/>
      <scheme val="minor"/>
    </font>
    <font>
      <b/>
      <u/>
      <sz val="16"/>
      <color rgb="FF006699"/>
      <name val="Calibri"/>
      <family val="2"/>
      <scheme val="minor"/>
    </font>
    <font>
      <b/>
      <i/>
      <u/>
      <sz val="12"/>
      <color rgb="FFFF0000"/>
      <name val="Calibri"/>
      <family val="2"/>
      <scheme val="minor"/>
    </font>
    <font>
      <b/>
      <u/>
      <sz val="10"/>
      <color rgb="FFFF0000"/>
      <name val="Calibri"/>
      <family val="2"/>
    </font>
    <font>
      <b/>
      <sz val="10"/>
      <color rgb="FFFF0000"/>
      <name val="Calibri"/>
      <family val="2"/>
    </font>
    <font>
      <b/>
      <i/>
      <u/>
      <sz val="11"/>
      <color rgb="FF0070C0"/>
      <name val="Calibri"/>
      <family val="2"/>
      <scheme val="minor"/>
    </font>
    <font>
      <b/>
      <i/>
      <sz val="11"/>
      <color rgb="FF0070C0"/>
      <name val="Calibri"/>
      <family val="2"/>
      <scheme val="minor"/>
    </font>
    <font>
      <sz val="16"/>
      <color rgb="FFFF0000"/>
      <name val="Calibri"/>
      <family val="2"/>
      <scheme val="minor"/>
    </font>
    <font>
      <i/>
      <sz val="11"/>
      <color rgb="FF083A42"/>
      <name val="Calibri"/>
      <family val="2"/>
      <scheme val="minor"/>
    </font>
    <font>
      <b/>
      <sz val="9"/>
      <name val="Calibri"/>
      <family val="2"/>
      <scheme val="minor"/>
    </font>
    <font>
      <b/>
      <sz val="9"/>
      <color rgb="FFFF0000"/>
      <name val="Calibri"/>
      <family val="2"/>
      <scheme val="minor"/>
    </font>
    <font>
      <b/>
      <sz val="16"/>
      <color rgb="FFFF0000"/>
      <name val="Calibri"/>
      <family val="2"/>
      <scheme val="minor"/>
    </font>
    <font>
      <b/>
      <i/>
      <sz val="16"/>
      <color rgb="FFFF0000"/>
      <name val="Calibri"/>
      <family val="2"/>
      <scheme val="minor"/>
    </font>
    <font>
      <sz val="15"/>
      <color rgb="FFFFFFFF"/>
      <name val="Arial"/>
      <family val="2"/>
    </font>
    <font>
      <sz val="15"/>
      <color rgb="FF37424A"/>
      <name val="Arial"/>
      <family val="2"/>
    </font>
    <font>
      <sz val="10"/>
      <color rgb="FF333333"/>
      <name val="Arial"/>
      <family val="2"/>
    </font>
    <font>
      <b/>
      <sz val="11"/>
      <color theme="1"/>
      <name val="Roboto"/>
    </font>
    <font>
      <b/>
      <sz val="22"/>
      <color theme="1"/>
      <name val="Calibri"/>
      <family val="2"/>
      <scheme val="minor"/>
    </font>
    <font>
      <sz val="12"/>
      <color theme="1"/>
      <name val="Calibri"/>
      <family val="2"/>
    </font>
    <font>
      <b/>
      <sz val="11"/>
      <color rgb="FFFFFFFF"/>
      <name val="Calibri"/>
      <family val="2"/>
    </font>
    <font>
      <b/>
      <sz val="11"/>
      <color rgb="FF000000"/>
      <name val="Calibri"/>
      <family val="2"/>
    </font>
    <font>
      <sz val="11"/>
      <color rgb="FF000000"/>
      <name val="Calibri"/>
      <family val="2"/>
    </font>
    <font>
      <b/>
      <sz val="12"/>
      <color rgb="FF000000"/>
      <name val="Calibri"/>
      <family val="2"/>
    </font>
    <font>
      <b/>
      <sz val="12"/>
      <color theme="1"/>
      <name val="Calibri"/>
      <family val="2"/>
    </font>
    <font>
      <sz val="6"/>
      <color theme="1"/>
      <name val="Calibri"/>
      <family val="2"/>
      <scheme val="minor"/>
    </font>
    <font>
      <b/>
      <u/>
      <sz val="12"/>
      <color rgb="FF0070C0"/>
      <name val="Calibri"/>
      <family val="2"/>
      <scheme val="minor"/>
    </font>
    <font>
      <b/>
      <sz val="11.5"/>
      <color theme="1"/>
      <name val="Calibri"/>
      <family val="2"/>
      <scheme val="minor"/>
    </font>
    <font>
      <b/>
      <u/>
      <sz val="11.5"/>
      <color rgb="FF0070C0"/>
      <name val="Calibri"/>
      <family val="2"/>
      <scheme val="minor"/>
    </font>
    <font>
      <b/>
      <u/>
      <sz val="11.5"/>
      <color theme="1"/>
      <name val="Calibri"/>
      <family val="2"/>
      <scheme val="minor"/>
    </font>
    <font>
      <b/>
      <sz val="11"/>
      <name val="Calibri"/>
      <family val="2"/>
    </font>
    <font>
      <b/>
      <i/>
      <sz val="18"/>
      <color rgb="FFFFFFFF"/>
      <name val="Calibri"/>
      <family val="2"/>
    </font>
    <font>
      <b/>
      <i/>
      <u/>
      <sz val="18"/>
      <color rgb="FFFFFFFF"/>
      <name val="Calibri"/>
      <family val="2"/>
    </font>
    <font>
      <b/>
      <sz val="8"/>
      <color theme="9" tint="-0.499984740745262"/>
      <name val="Calibri"/>
      <family val="2"/>
    </font>
    <font>
      <b/>
      <i/>
      <sz val="11"/>
      <color theme="9" tint="-0.499984740745262"/>
      <name val="Calibri"/>
      <family val="2"/>
    </font>
    <font>
      <b/>
      <vertAlign val="subscript"/>
      <sz val="11"/>
      <color theme="9" tint="-0.499984740745262"/>
      <name val="Calibri"/>
      <family val="2"/>
    </font>
    <font>
      <sz val="11"/>
      <color rgb="FF375623"/>
      <name val="Calibri"/>
      <family val="2"/>
    </font>
    <font>
      <b/>
      <sz val="10"/>
      <color rgb="FF375623"/>
      <name val="Calibri"/>
      <family val="2"/>
    </font>
    <font>
      <b/>
      <vertAlign val="subscript"/>
      <sz val="10"/>
      <color rgb="FF375623"/>
      <name val="Calibri"/>
      <family val="2"/>
    </font>
    <font>
      <i/>
      <sz val="18"/>
      <color theme="7" tint="0.59999389629810485"/>
      <name val="Calibri"/>
      <family val="2"/>
      <scheme val="minor"/>
    </font>
    <font>
      <b/>
      <u/>
      <sz val="16"/>
      <color rgb="FFC00000"/>
      <name val="Calibri"/>
      <family val="2"/>
      <scheme val="minor"/>
    </font>
  </fonts>
  <fills count="121">
    <fill>
      <patternFill patternType="none"/>
    </fill>
    <fill>
      <patternFill patternType="gray125"/>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17073"/>
        <bgColor indexed="64"/>
      </patternFill>
    </fill>
    <fill>
      <patternFill patternType="solid">
        <fgColor theme="0" tint="-0.14999847407452621"/>
        <bgColor indexed="9"/>
      </patternFill>
    </fill>
    <fill>
      <patternFill patternType="solid">
        <fgColor theme="0"/>
        <bgColor rgb="FFFFFFFF"/>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rgb="FFFFFFFF"/>
      </patternFill>
    </fill>
    <fill>
      <patternFill patternType="solid">
        <fgColor theme="4" tint="0.79998168889431442"/>
        <bgColor rgb="FFFFFFFF"/>
      </patternFill>
    </fill>
    <fill>
      <patternFill patternType="solid">
        <fgColor theme="4" tint="0.79998168889431442"/>
        <bgColor indexed="9"/>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999"/>
        <bgColor indexed="64"/>
      </patternFill>
    </fill>
    <fill>
      <patternFill patternType="solid">
        <fgColor rgb="FFFF9900"/>
        <bgColor indexed="64"/>
      </patternFill>
    </fill>
    <fill>
      <patternFill patternType="solid">
        <fgColor rgb="FFFF99FF"/>
        <bgColor indexed="64"/>
      </patternFill>
    </fill>
    <fill>
      <patternFill patternType="solid">
        <fgColor indexed="9"/>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D9E1F2"/>
        <bgColor rgb="FF000000"/>
      </patternFill>
    </fill>
    <fill>
      <patternFill patternType="solid">
        <fgColor theme="4" tint="0.59999389629810485"/>
        <bgColor indexed="64"/>
      </patternFill>
    </fill>
    <fill>
      <patternFill patternType="solid">
        <fgColor rgb="FFFFFFFF"/>
        <bgColor indexed="64"/>
      </patternFill>
    </fill>
    <fill>
      <patternFill patternType="solid">
        <fgColor rgb="FFBFBFBF"/>
        <bgColor indexed="64"/>
      </patternFill>
    </fill>
    <fill>
      <patternFill patternType="solid">
        <fgColor rgb="FFD0CECE"/>
        <bgColor indexed="64"/>
      </patternFill>
    </fill>
    <fill>
      <patternFill patternType="solid">
        <fgColor theme="4" tint="0.79998168889431442"/>
        <bgColor theme="8" tint="0.59999389629810485"/>
      </patternFill>
    </fill>
    <fill>
      <patternFill patternType="solid">
        <fgColor theme="3" tint="0.79998168889431442"/>
        <bgColor indexed="64"/>
      </patternFill>
    </fill>
    <fill>
      <patternFill patternType="solid">
        <fgColor rgb="FFFFF2CC"/>
        <bgColor indexed="64"/>
      </patternFill>
    </fill>
    <fill>
      <patternFill patternType="solid">
        <fgColor rgb="FFC6E0B4"/>
        <bgColor indexed="64"/>
      </patternFill>
    </fill>
    <fill>
      <patternFill patternType="solid">
        <fgColor theme="1"/>
        <bgColor indexed="64"/>
      </patternFill>
    </fill>
    <fill>
      <patternFill patternType="solid">
        <fgColor theme="4" tint="0.79998168889431442"/>
        <bgColor rgb="FF000000"/>
      </patternFill>
    </fill>
    <fill>
      <patternFill patternType="solid">
        <fgColor rgb="FFF7901E"/>
        <bgColor indexed="64"/>
      </patternFill>
    </fill>
    <fill>
      <patternFill patternType="solid">
        <fgColor theme="4"/>
        <bgColor theme="4"/>
      </patternFill>
    </fill>
    <fill>
      <patternFill patternType="solid">
        <fgColor theme="2"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6" tint="-9.9978637043366805E-2"/>
        <bgColor indexed="64"/>
      </patternFill>
    </fill>
    <fill>
      <patternFill patternType="solid">
        <fgColor theme="6" tint="-0.499984740745262"/>
        <bgColor indexed="64"/>
      </patternFill>
    </fill>
    <fill>
      <patternFill patternType="solid">
        <fgColor theme="4" tint="0.79998168889431442"/>
        <bgColor theme="8" tint="0.79998168889431442"/>
      </patternFill>
    </fill>
    <fill>
      <patternFill patternType="solid">
        <fgColor theme="0" tint="-0.14999847407452621"/>
        <bgColor rgb="FF000000"/>
      </patternFill>
    </fill>
    <fill>
      <patternFill patternType="gray125">
        <bgColor rgb="FFD9D9D9"/>
      </patternFill>
    </fill>
    <fill>
      <patternFill patternType="solid">
        <fgColor rgb="FFD9D9D9"/>
        <bgColor indexed="64"/>
      </patternFill>
    </fill>
    <fill>
      <patternFill patternType="solid">
        <fgColor rgb="FFD9D9D9"/>
        <bgColor rgb="FF000000"/>
      </patternFill>
    </fill>
    <fill>
      <patternFill patternType="solid">
        <fgColor theme="8" tint="0.39997558519241921"/>
        <bgColor indexed="64"/>
      </patternFill>
    </fill>
    <fill>
      <patternFill patternType="solid">
        <fgColor theme="6" tint="0.79998168889431442"/>
        <bgColor indexed="64"/>
      </patternFill>
    </fill>
    <fill>
      <patternFill patternType="solid">
        <fgColor theme="2"/>
        <bgColor indexed="64"/>
      </patternFill>
    </fill>
    <fill>
      <patternFill patternType="solid">
        <fgColor theme="2" tint="0.79998168889431442"/>
        <bgColor indexed="64"/>
      </patternFill>
    </fill>
    <fill>
      <patternFill patternType="solid">
        <fgColor rgb="FF5C8A85"/>
        <bgColor indexed="64"/>
      </patternFill>
    </fill>
    <fill>
      <patternFill patternType="solid">
        <fgColor rgb="FFDAE6E5"/>
        <bgColor indexed="64"/>
      </patternFill>
    </fill>
    <fill>
      <patternFill patternType="solid">
        <fgColor rgb="FF172835"/>
        <bgColor indexed="64"/>
      </patternFill>
    </fill>
    <fill>
      <patternFill patternType="solid">
        <fgColor theme="5"/>
        <bgColor indexed="64"/>
      </patternFill>
    </fill>
    <fill>
      <patternFill patternType="solid">
        <fgColor rgb="FFF2DFA6"/>
        <bgColor indexed="64"/>
      </patternFill>
    </fill>
    <fill>
      <patternFill patternType="solid">
        <fgColor rgb="FF376189"/>
        <bgColor indexed="64"/>
      </patternFill>
    </fill>
    <fill>
      <patternFill patternType="solid">
        <fgColor theme="4" tint="0.39997558519241921"/>
        <bgColor indexed="64"/>
      </patternFill>
    </fill>
    <fill>
      <patternFill patternType="solid">
        <fgColor rgb="FF92D050"/>
        <bgColor indexed="64"/>
      </patternFill>
    </fill>
    <fill>
      <patternFill patternType="solid">
        <fgColor rgb="FFCAC596"/>
        <bgColor indexed="64"/>
      </patternFill>
    </fill>
    <fill>
      <patternFill patternType="solid">
        <fgColor rgb="FFECE8DF"/>
        <bgColor indexed="64"/>
      </patternFill>
    </fill>
    <fill>
      <patternFill patternType="solid">
        <fgColor rgb="FFFFE699"/>
        <bgColor indexed="64"/>
      </patternFill>
    </fill>
    <fill>
      <patternFill patternType="solid">
        <fgColor theme="7" tint="0.39997558519241921"/>
        <bgColor rgb="FF000000"/>
      </patternFill>
    </fill>
    <fill>
      <patternFill patternType="solid">
        <fgColor rgb="FF305496"/>
        <bgColor rgb="FF000000"/>
      </patternFill>
    </fill>
    <fill>
      <patternFill patternType="solid">
        <fgColor rgb="FFFFD966"/>
        <bgColor rgb="FF000000"/>
      </patternFill>
    </fill>
    <fill>
      <patternFill patternType="solid">
        <fgColor theme="2" tint="-0.749992370372631"/>
        <bgColor indexed="64"/>
      </patternFill>
    </fill>
    <fill>
      <patternFill patternType="solid">
        <fgColor theme="7" tint="-0.249977111117893"/>
        <bgColor indexed="64"/>
      </patternFill>
    </fill>
    <fill>
      <patternFill patternType="solid">
        <fgColor rgb="FFFFD966"/>
        <bgColor indexed="64"/>
      </patternFill>
    </fill>
    <fill>
      <patternFill patternType="solid">
        <fgColor theme="7" tint="0.59999389629810485"/>
        <bgColor indexed="64"/>
      </patternFill>
    </fill>
    <fill>
      <patternFill patternType="solid">
        <fgColor theme="6"/>
        <bgColor indexed="64"/>
      </patternFill>
    </fill>
    <fill>
      <patternFill patternType="solid">
        <fgColor theme="9"/>
        <bgColor indexed="64"/>
      </patternFill>
    </fill>
    <fill>
      <patternFill patternType="solid">
        <fgColor rgb="FF085A64"/>
        <bgColor indexed="64"/>
      </patternFill>
    </fill>
    <fill>
      <patternFill patternType="solid">
        <fgColor rgb="FFF0F7FB"/>
        <bgColor indexed="64"/>
      </patternFill>
    </fill>
    <fill>
      <patternFill patternType="solid">
        <fgColor rgb="FFD9E1F2"/>
        <bgColor rgb="FFBDD7EE"/>
      </patternFill>
    </fill>
    <fill>
      <patternFill patternType="solid">
        <fgColor rgb="FFD9E2F3"/>
        <bgColor rgb="FFD9E2F3"/>
      </patternFill>
    </fill>
    <fill>
      <patternFill patternType="solid">
        <fgColor rgb="FF1C556C"/>
      </patternFill>
    </fill>
    <fill>
      <patternFill patternType="solid">
        <fgColor rgb="FF8EAAB7"/>
      </patternFill>
    </fill>
    <fill>
      <patternFill patternType="solid">
        <fgColor rgb="FFD9D9D9"/>
      </patternFill>
    </fill>
    <fill>
      <patternFill patternType="solid">
        <fgColor rgb="FFFFFFFF"/>
      </patternFill>
    </fill>
    <fill>
      <patternFill patternType="solid">
        <fgColor rgb="FFDDDDDD"/>
      </patternFill>
    </fill>
    <fill>
      <patternFill patternType="solid">
        <fgColor rgb="FFD9E1F2"/>
        <bgColor rgb="FFD9E1F2"/>
      </patternFill>
    </fill>
    <fill>
      <patternFill patternType="solid">
        <fgColor rgb="FFE9E9E9"/>
      </patternFill>
    </fill>
    <fill>
      <patternFill patternType="solid">
        <fgColor rgb="FFFFFF66"/>
        <bgColor indexed="64"/>
      </patternFill>
    </fill>
    <fill>
      <patternFill patternType="solid">
        <fgColor theme="7" tint="0.89999084444715716"/>
        <bgColor indexed="64"/>
      </patternFill>
    </fill>
    <fill>
      <patternFill patternType="solid">
        <fgColor theme="8" tint="0.79998168889431442"/>
        <bgColor indexed="64"/>
      </patternFill>
    </fill>
    <fill>
      <patternFill patternType="solid">
        <fgColor theme="9" tint="0.79998168889431442"/>
        <bgColor indexed="64"/>
      </patternFill>
    </fill>
  </fills>
  <borders count="2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style="medium">
        <color indexed="64"/>
      </left>
      <right/>
      <top/>
      <bottom/>
      <diagonal/>
    </border>
    <border>
      <left style="medium">
        <color indexed="64"/>
      </left>
      <right/>
      <top/>
      <bottom style="medium">
        <color indexed="6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theme="0"/>
      </right>
      <top/>
      <bottom style="thick">
        <color theme="0"/>
      </bottom>
      <diagonal/>
    </border>
    <border>
      <left/>
      <right style="thin">
        <color indexed="64"/>
      </right>
      <top style="thin">
        <color indexed="64"/>
      </top>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style="thin">
        <color indexed="64"/>
      </right>
      <top style="thin">
        <color theme="4"/>
      </top>
      <bottom/>
      <diagonal/>
    </border>
    <border>
      <left/>
      <right style="thin">
        <color indexed="64"/>
      </right>
      <top/>
      <bottom style="thin">
        <color theme="4"/>
      </bottom>
      <diagonal/>
    </border>
    <border>
      <left/>
      <right/>
      <top style="thin">
        <color theme="4"/>
      </top>
      <bottom style="thin">
        <color theme="4"/>
      </bottom>
      <diagonal/>
    </border>
    <border>
      <left style="thin">
        <color theme="4"/>
      </left>
      <right style="thin">
        <color theme="4"/>
      </right>
      <top/>
      <bottom style="thin">
        <color theme="4"/>
      </bottom>
      <diagonal/>
    </border>
    <border>
      <left style="thin">
        <color theme="3"/>
      </left>
      <right style="thin">
        <color theme="3"/>
      </right>
      <top style="thin">
        <color theme="3"/>
      </top>
      <bottom style="thin">
        <color theme="3"/>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right/>
      <top style="thin">
        <color theme="4"/>
      </top>
      <bottom style="thin">
        <color indexed="64"/>
      </bottom>
      <diagonal/>
    </border>
    <border>
      <left/>
      <right style="thin">
        <color theme="4"/>
      </right>
      <top style="thin">
        <color theme="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theme="9"/>
      </left>
      <right/>
      <top style="thin">
        <color theme="9"/>
      </top>
      <bottom style="thin">
        <color theme="9"/>
      </bottom>
      <diagonal/>
    </border>
    <border>
      <left/>
      <right/>
      <top style="thin">
        <color theme="9"/>
      </top>
      <bottom style="thin">
        <color theme="9"/>
      </bottom>
      <diagonal/>
    </border>
    <border>
      <left/>
      <right style="medium">
        <color indexed="64"/>
      </right>
      <top style="thin">
        <color theme="9"/>
      </top>
      <bottom style="thin">
        <color theme="9"/>
      </bottom>
      <diagonal/>
    </border>
    <border>
      <left style="thin">
        <color theme="2"/>
      </left>
      <right/>
      <top style="thin">
        <color theme="2"/>
      </top>
      <bottom style="thin">
        <color theme="2"/>
      </bottom>
      <diagonal/>
    </border>
    <border>
      <left style="medium">
        <color indexed="64"/>
      </left>
      <right style="thin">
        <color rgb="FF5C8A85"/>
      </right>
      <top style="thin">
        <color rgb="FF5C8A85"/>
      </top>
      <bottom/>
      <diagonal/>
    </border>
    <border>
      <left style="medium">
        <color indexed="64"/>
      </left>
      <right style="thin">
        <color rgb="FF5C8A85"/>
      </right>
      <top style="thin">
        <color rgb="FF5C8A85"/>
      </top>
      <bottom style="medium">
        <color indexed="64"/>
      </bottom>
      <diagonal/>
    </border>
    <border>
      <left style="thin">
        <color rgb="FF5C8A85"/>
      </left>
      <right/>
      <top style="thin">
        <color rgb="FF5C8A85"/>
      </top>
      <bottom style="medium">
        <color indexed="64"/>
      </bottom>
      <diagonal/>
    </border>
    <border>
      <left style="thin">
        <color theme="9"/>
      </left>
      <right/>
      <top style="thin">
        <color theme="9"/>
      </top>
      <bottom style="medium">
        <color indexed="64"/>
      </bottom>
      <diagonal/>
    </border>
    <border>
      <left/>
      <right/>
      <top style="thin">
        <color theme="9"/>
      </top>
      <bottom style="medium">
        <color indexed="64"/>
      </bottom>
      <diagonal/>
    </border>
    <border>
      <left/>
      <right style="medium">
        <color indexed="64"/>
      </right>
      <top style="thin">
        <color theme="9"/>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dotted">
        <color theme="0" tint="-0.249977111117893"/>
      </left>
      <right/>
      <top/>
      <bottom style="dotted">
        <color theme="0" tint="-0.249977111117893"/>
      </bottom>
      <diagonal/>
    </border>
    <border>
      <left/>
      <right style="thin">
        <color theme="0"/>
      </right>
      <top style="thin">
        <color theme="0"/>
      </top>
      <bottom/>
      <diagonal/>
    </border>
    <border>
      <left style="thin">
        <color theme="0"/>
      </left>
      <right/>
      <top style="thin">
        <color theme="0"/>
      </top>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diagonal/>
    </border>
    <border>
      <left style="medium">
        <color indexed="64"/>
      </left>
      <right/>
      <top style="thin">
        <color rgb="FF5C8A85"/>
      </top>
      <bottom style="thin">
        <color theme="4"/>
      </bottom>
      <diagonal/>
    </border>
    <border>
      <left style="medium">
        <color indexed="64"/>
      </left>
      <right/>
      <top style="thin">
        <color theme="4"/>
      </top>
      <bottom style="thin">
        <color theme="4"/>
      </bottom>
      <diagonal/>
    </border>
    <border>
      <left style="medium">
        <color indexed="64"/>
      </left>
      <right/>
      <top style="thin">
        <color rgb="FFB0A755"/>
      </top>
      <bottom style="thin">
        <color rgb="FFB0A755"/>
      </bottom>
      <diagonal/>
    </border>
    <border>
      <left style="thin">
        <color theme="9"/>
      </left>
      <right/>
      <top/>
      <bottom/>
      <diagonal/>
    </border>
    <border>
      <left style="thin">
        <color rgb="FFCAC596"/>
      </left>
      <right/>
      <top style="thin">
        <color rgb="FFCAC596"/>
      </top>
      <bottom style="thin">
        <color rgb="FFCAC596"/>
      </bottom>
      <diagonal/>
    </border>
    <border>
      <left style="medium">
        <color indexed="64"/>
      </left>
      <right style="thin">
        <color rgb="FFCAC596"/>
      </right>
      <top style="thin">
        <color rgb="FFCAC596"/>
      </top>
      <bottom/>
      <diagonal/>
    </border>
    <border>
      <left style="thin">
        <color rgb="FFCAC596"/>
      </left>
      <right/>
      <top style="thin">
        <color rgb="FFCAC596"/>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medium">
        <color auto="1"/>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right style="thin">
        <color auto="1"/>
      </right>
      <top style="thin">
        <color auto="1"/>
      </top>
      <bottom style="medium">
        <color auto="1"/>
      </bottom>
      <diagonal/>
    </border>
    <border>
      <left style="medium">
        <color indexed="64"/>
      </left>
      <right/>
      <top style="medium">
        <color indexed="64"/>
      </top>
      <bottom style="thin">
        <color theme="4"/>
      </bottom>
      <diagonal/>
    </border>
    <border>
      <left/>
      <right style="thin">
        <color rgb="FF000000"/>
      </right>
      <top style="medium">
        <color indexed="64"/>
      </top>
      <bottom style="thin">
        <color theme="4"/>
      </bottom>
      <diagonal/>
    </border>
    <border>
      <left style="medium">
        <color indexed="64"/>
      </left>
      <right style="thin">
        <color rgb="FF5C8A85"/>
      </right>
      <top/>
      <bottom/>
      <diagonal/>
    </border>
    <border>
      <left style="medium">
        <color indexed="64"/>
      </left>
      <right style="thin">
        <color rgb="FF5C8A85"/>
      </right>
      <top/>
      <bottom style="thin">
        <color rgb="FF5C8A85"/>
      </bottom>
      <diagonal/>
    </border>
    <border>
      <left style="thin">
        <color rgb="FF000000"/>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dotted">
        <color theme="0" tint="-0.249977111117893"/>
      </left>
      <right/>
      <top style="medium">
        <color rgb="FF000000"/>
      </top>
      <bottom style="dotted">
        <color theme="0" tint="-0.249977111117893"/>
      </bottom>
      <diagonal/>
    </border>
    <border>
      <left/>
      <right style="medium">
        <color indexed="64"/>
      </right>
      <top style="medium">
        <color rgb="FF000000"/>
      </top>
      <bottom style="dotted">
        <color theme="0" tint="-0.249977111117893"/>
      </bottom>
      <diagonal/>
    </border>
    <border>
      <left/>
      <right/>
      <top/>
      <bottom style="thin">
        <color theme="0"/>
      </bottom>
      <diagonal/>
    </border>
    <border>
      <left/>
      <right style="medium">
        <color indexed="64"/>
      </right>
      <top/>
      <bottom style="thin">
        <color theme="0"/>
      </bottom>
      <diagonal/>
    </border>
    <border>
      <left/>
      <right/>
      <top/>
      <bottom style="medium">
        <color theme="0" tint="-0.249977111117893"/>
      </bottom>
      <diagonal/>
    </border>
    <border>
      <left style="medium">
        <color indexed="64"/>
      </left>
      <right/>
      <top style="thin">
        <color theme="4"/>
      </top>
      <bottom style="thin">
        <color rgb="FF5C8A85"/>
      </bottom>
      <diagonal/>
    </border>
    <border>
      <left style="medium">
        <color indexed="64"/>
      </left>
      <right/>
      <top style="thin">
        <color rgb="FF5C8A85"/>
      </top>
      <bottom style="thin">
        <color rgb="FF5C8A85"/>
      </bottom>
      <diagonal/>
    </border>
    <border>
      <left style="medium">
        <color indexed="64"/>
      </left>
      <right/>
      <top style="thin">
        <color theme="4"/>
      </top>
      <bottom style="thin">
        <color rgb="FFB0A755"/>
      </bottom>
      <diagonal/>
    </border>
    <border>
      <left/>
      <right style="thin">
        <color theme="9"/>
      </right>
      <top style="thin">
        <color theme="4"/>
      </top>
      <bottom style="thin">
        <color rgb="FFB0A755"/>
      </bottom>
      <diagonal/>
    </border>
    <border>
      <left style="medium">
        <color indexed="64"/>
      </left>
      <right/>
      <top style="thin">
        <color rgb="FFCAC596"/>
      </top>
      <bottom style="thin">
        <color rgb="FFCAC596"/>
      </bottom>
      <diagonal/>
    </border>
    <border>
      <left style="medium">
        <color indexed="64"/>
      </left>
      <right style="thin">
        <color rgb="FFCAC596"/>
      </right>
      <top/>
      <bottom/>
      <diagonal/>
    </border>
    <border>
      <left style="medium">
        <color indexed="64"/>
      </left>
      <right style="thin">
        <color rgb="FFCAC596"/>
      </right>
      <top/>
      <bottom style="medium">
        <color indexed="64"/>
      </bottom>
      <diagonal/>
    </border>
    <border>
      <left/>
      <right/>
      <top style="medium">
        <color indexed="64"/>
      </top>
      <bottom style="medium">
        <color rgb="FF000000"/>
      </bottom>
      <diagonal/>
    </border>
    <border>
      <left style="medium">
        <color indexed="64"/>
      </left>
      <right/>
      <top/>
      <bottom style="thin">
        <color indexed="64"/>
      </bottom>
      <diagonal/>
    </border>
    <border>
      <left style="thin">
        <color auto="1"/>
      </left>
      <right style="medium">
        <color auto="1"/>
      </right>
      <top/>
      <bottom style="thin">
        <color auto="1"/>
      </bottom>
      <diagonal/>
    </border>
    <border>
      <left style="medium">
        <color indexed="64"/>
      </left>
      <right style="medium">
        <color indexed="64"/>
      </right>
      <top style="thin">
        <color auto="1"/>
      </top>
      <bottom/>
      <diagonal/>
    </border>
    <border>
      <left/>
      <right style="medium">
        <color rgb="FFE9F5F6"/>
      </right>
      <top/>
      <bottom style="medium">
        <color rgb="FFE9F5F6"/>
      </bottom>
      <diagonal/>
    </border>
    <border>
      <left style="thick">
        <color rgb="FF5EB9C3"/>
      </left>
      <right style="medium">
        <color rgb="FFE9F5F6"/>
      </right>
      <top/>
      <bottom style="medium">
        <color rgb="FFE9F5F6"/>
      </bottom>
      <diagonal/>
    </border>
    <border>
      <left style="thick">
        <color rgb="FFE6F0F7"/>
      </left>
      <right style="medium">
        <color rgb="FFE9F5F6"/>
      </right>
      <top/>
      <bottom style="thick">
        <color rgb="FFE6F0F7"/>
      </bottom>
      <diagonal/>
    </border>
    <border>
      <left style="medium">
        <color rgb="FFE9F5F6"/>
      </left>
      <right style="medium">
        <color rgb="FFE9F5F6"/>
      </right>
      <top/>
      <bottom style="thick">
        <color rgb="FFE6F0F7"/>
      </bottom>
      <diagonal/>
    </border>
    <border>
      <left style="medium">
        <color rgb="FFE9F5F6"/>
      </left>
      <right style="thick">
        <color rgb="FFE6F0F7"/>
      </right>
      <top/>
      <bottom style="thick">
        <color rgb="FFE6F0F7"/>
      </bottom>
      <diagonal/>
    </border>
    <border>
      <left style="thin">
        <color theme="0" tint="-0.249977111117893"/>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medium">
        <color indexed="64"/>
      </left>
      <right style="thin">
        <color theme="4"/>
      </right>
      <top style="medium">
        <color indexed="64"/>
      </top>
      <bottom style="thin">
        <color theme="4"/>
      </bottom>
      <diagonal/>
    </border>
    <border>
      <left style="thin">
        <color theme="4"/>
      </left>
      <right/>
      <top style="medium">
        <color indexed="64"/>
      </top>
      <bottom style="thin">
        <color theme="4"/>
      </bottom>
      <diagonal/>
    </border>
    <border>
      <left style="thin">
        <color theme="4"/>
      </left>
      <right style="thin">
        <color theme="4"/>
      </right>
      <top style="medium">
        <color indexed="64"/>
      </top>
      <bottom style="thin">
        <color theme="4"/>
      </bottom>
      <diagonal/>
    </border>
    <border>
      <left style="thin">
        <color rgb="FF5C8A85"/>
      </left>
      <right style="thin">
        <color rgb="FF5C8A85"/>
      </right>
      <top style="thin">
        <color theme="4"/>
      </top>
      <bottom style="thin">
        <color rgb="FF5C8A85"/>
      </bottom>
      <diagonal/>
    </border>
    <border>
      <left style="thin">
        <color rgb="FF5C8A85"/>
      </left>
      <right style="thin">
        <color rgb="FF5C8A85"/>
      </right>
      <top style="thin">
        <color rgb="FF5C8A85"/>
      </top>
      <bottom style="thin">
        <color rgb="FF5C8A85"/>
      </bottom>
      <diagonal/>
    </border>
    <border>
      <left style="thin">
        <color rgb="FF5C8A85"/>
      </left>
      <right style="thin">
        <color rgb="FF5C8A85"/>
      </right>
      <top style="thin">
        <color rgb="FF5C8A85"/>
      </top>
      <bottom style="thin">
        <color theme="4"/>
      </bottom>
      <diagonal/>
    </border>
    <border>
      <left/>
      <right/>
      <top style="thin">
        <color rgb="FF5C8A85"/>
      </top>
      <bottom style="thin">
        <color theme="4"/>
      </bottom>
      <diagonal/>
    </border>
    <border>
      <left/>
      <right style="thin">
        <color rgb="FF5C8A85"/>
      </right>
      <top style="thin">
        <color rgb="FF5C8A85"/>
      </top>
      <bottom style="medium">
        <color indexed="64"/>
      </bottom>
      <diagonal/>
    </border>
    <border>
      <left/>
      <right style="thin">
        <color rgb="FF5C8A85"/>
      </right>
      <top style="thin">
        <color rgb="FF5C8A85"/>
      </top>
      <bottom style="thin">
        <color rgb="FF5C8A85"/>
      </bottom>
      <diagonal/>
    </border>
    <border>
      <left/>
      <right/>
      <top style="thin">
        <color rgb="FF5C8A85"/>
      </top>
      <bottom/>
      <diagonal/>
    </border>
    <border>
      <left style="thin">
        <color theme="0"/>
      </left>
      <right/>
      <top style="thin">
        <color theme="0"/>
      </top>
      <bottom style="thin">
        <color theme="0"/>
      </bottom>
      <diagonal/>
    </border>
    <border>
      <left style="medium">
        <color indexed="64"/>
      </left>
      <right style="thin">
        <color rgb="FF5C8A85"/>
      </right>
      <top style="thin">
        <color theme="4"/>
      </top>
      <bottom style="thin">
        <color rgb="FF5C8A85"/>
      </bottom>
      <diagonal/>
    </border>
    <border>
      <left style="medium">
        <color indexed="64"/>
      </left>
      <right style="thin">
        <color rgb="FF5C8A85"/>
      </right>
      <top style="thin">
        <color rgb="FF5C8A85"/>
      </top>
      <bottom style="thin">
        <color rgb="FF5C8A85"/>
      </bottom>
      <diagonal/>
    </border>
    <border>
      <left style="medium">
        <color indexed="64"/>
      </left>
      <right style="thin">
        <color rgb="FF5C8A85"/>
      </right>
      <top style="thin">
        <color rgb="FF5C8A85"/>
      </top>
      <bottom style="thin">
        <color theme="4"/>
      </bottom>
      <diagonal/>
    </border>
    <border>
      <left/>
      <right style="thin">
        <color theme="0"/>
      </right>
      <top/>
      <bottom/>
      <diagonal/>
    </border>
    <border>
      <left style="thin">
        <color theme="0"/>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medium">
        <color auto="1"/>
      </top>
      <bottom/>
      <diagonal/>
    </border>
    <border>
      <left style="thin">
        <color rgb="FF5C8A85"/>
      </left>
      <right style="thin">
        <color rgb="FF5C8A85"/>
      </right>
      <top style="medium">
        <color auto="1"/>
      </top>
      <bottom style="medium">
        <color auto="1"/>
      </bottom>
      <diagonal/>
    </border>
    <border>
      <left style="thin">
        <color rgb="FF5C8A85"/>
      </left>
      <right style="thin">
        <color rgb="FF5C8A85"/>
      </right>
      <top style="medium">
        <color auto="1"/>
      </top>
      <bottom/>
      <diagonal/>
    </border>
    <border>
      <left style="thin">
        <color rgb="FF5C8A85"/>
      </left>
      <right style="thin">
        <color rgb="FF5C8A85"/>
      </right>
      <top/>
      <bottom style="thin">
        <color rgb="FF5C8A85"/>
      </bottom>
      <diagonal/>
    </border>
    <border>
      <left style="thin">
        <color rgb="FF5C8A85"/>
      </left>
      <right style="thin">
        <color rgb="FF5C8A85"/>
      </right>
      <top style="thin">
        <color rgb="FF5C8A85"/>
      </top>
      <bottom style="medium">
        <color indexed="64"/>
      </bottom>
      <diagonal/>
    </border>
    <border>
      <left/>
      <right style="thin">
        <color rgb="FF5C8A85"/>
      </right>
      <top style="medium">
        <color indexed="64"/>
      </top>
      <bottom style="thin">
        <color rgb="FF5C8A85"/>
      </bottom>
      <diagonal/>
    </border>
    <border>
      <left style="thin">
        <color rgb="FF5C8A85"/>
      </left>
      <right style="thin">
        <color rgb="FF5C8A85"/>
      </right>
      <top style="medium">
        <color indexed="64"/>
      </top>
      <bottom style="thin">
        <color rgb="FF5C8A85"/>
      </bottom>
      <diagonal/>
    </border>
    <border>
      <left style="thin">
        <color rgb="FF5C8A85"/>
      </left>
      <right style="medium">
        <color indexed="64"/>
      </right>
      <top style="medium">
        <color indexed="64"/>
      </top>
      <bottom style="thin">
        <color rgb="FF5C8A85"/>
      </bottom>
      <diagonal/>
    </border>
    <border>
      <left style="thin">
        <color rgb="FF5C8A85"/>
      </left>
      <right style="medium">
        <color indexed="64"/>
      </right>
      <top style="thin">
        <color rgb="FF5C8A85"/>
      </top>
      <bottom style="thin">
        <color rgb="FF5C8A85"/>
      </bottom>
      <diagonal/>
    </border>
    <border>
      <left style="thin">
        <color theme="9"/>
      </left>
      <right style="thin">
        <color rgb="FF5C8A85"/>
      </right>
      <top style="thin">
        <color rgb="FF5C8A85"/>
      </top>
      <bottom style="medium">
        <color indexed="64"/>
      </bottom>
      <diagonal/>
    </border>
    <border>
      <left/>
      <right/>
      <top style="thin">
        <color rgb="FF5C8A85"/>
      </top>
      <bottom style="thin">
        <color rgb="FF5C8A85"/>
      </bottom>
      <diagonal/>
    </border>
    <border>
      <left/>
      <right style="medium">
        <color indexed="64"/>
      </right>
      <top style="thin">
        <color rgb="FF5C8A85"/>
      </top>
      <bottom style="thin">
        <color rgb="FF5C8A85"/>
      </bottom>
      <diagonal/>
    </border>
    <border>
      <left style="medium">
        <color indexed="64"/>
      </left>
      <right style="thin">
        <color rgb="FF5C8A85"/>
      </right>
      <top style="medium">
        <color indexed="64"/>
      </top>
      <bottom style="thin">
        <color rgb="FF5C8A85"/>
      </bottom>
      <diagonal/>
    </border>
    <border>
      <left style="thin">
        <color rgb="FF5C8A85"/>
      </left>
      <right style="medium">
        <color indexed="64"/>
      </right>
      <top style="medium">
        <color indexed="64"/>
      </top>
      <bottom/>
      <diagonal/>
    </border>
    <border>
      <left style="thin">
        <color rgb="FF5C8A85"/>
      </left>
      <right style="medium">
        <color indexed="64"/>
      </right>
      <top/>
      <bottom style="thin">
        <color rgb="FF5C8A85"/>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thin">
        <color theme="4"/>
      </top>
      <bottom style="thin">
        <color rgb="FF5C8A85"/>
      </bottom>
      <diagonal/>
    </border>
    <border>
      <left/>
      <right/>
      <top style="thin">
        <color rgb="FFB0A755"/>
      </top>
      <bottom style="thin">
        <color rgb="FFB0A755"/>
      </bottom>
      <diagonal/>
    </border>
    <border>
      <left style="thin">
        <color rgb="FF000000"/>
      </left>
      <right style="thin">
        <color rgb="FF000000"/>
      </right>
      <top style="medium">
        <color rgb="FF000000"/>
      </top>
      <bottom/>
      <diagonal/>
    </border>
    <border>
      <left style="thin">
        <color theme="9"/>
      </left>
      <right style="thin">
        <color theme="9"/>
      </right>
      <top style="medium">
        <color indexed="64"/>
      </top>
      <bottom/>
      <diagonal/>
    </border>
    <border>
      <left style="thin">
        <color theme="9"/>
      </left>
      <right style="medium">
        <color indexed="64"/>
      </right>
      <top style="medium">
        <color indexed="64"/>
      </top>
      <bottom/>
      <diagonal/>
    </border>
    <border>
      <left/>
      <right/>
      <top style="thin">
        <color rgb="FFCAC596"/>
      </top>
      <bottom style="thin">
        <color rgb="FFCAC596"/>
      </bottom>
      <diagonal/>
    </border>
    <border>
      <left style="medium">
        <color indexed="64"/>
      </left>
      <right/>
      <top style="medium">
        <color indexed="64"/>
      </top>
      <bottom style="medium">
        <color rgb="FF000000"/>
      </bottom>
      <diagonal/>
    </border>
    <border>
      <left style="medium">
        <color indexed="64"/>
      </left>
      <right style="dotted">
        <color theme="0" tint="-0.249977111117893"/>
      </right>
      <top/>
      <bottom style="dotted">
        <color theme="0" tint="-0.249977111117893"/>
      </bottom>
      <diagonal/>
    </border>
    <border>
      <left style="medium">
        <color auto="1"/>
      </left>
      <right/>
      <top style="dotted">
        <color theme="0" tint="-0.249977111117893"/>
      </top>
      <bottom/>
      <diagonal/>
    </border>
    <border>
      <left style="thin">
        <color indexed="64"/>
      </left>
      <right/>
      <top/>
      <bottom style="medium">
        <color indexed="64"/>
      </bottom>
      <diagonal/>
    </border>
    <border>
      <left/>
      <right/>
      <top style="thin">
        <color rgb="FF5C8A85"/>
      </top>
      <bottom style="medium">
        <color auto="1"/>
      </bottom>
      <diagonal/>
    </border>
    <border>
      <left/>
      <right style="medium">
        <color auto="1"/>
      </right>
      <top style="thin">
        <color rgb="FF5C8A85"/>
      </top>
      <bottom style="medium">
        <color auto="1"/>
      </bottom>
      <diagonal/>
    </border>
    <border>
      <left style="thin">
        <color theme="0"/>
      </left>
      <right style="thin">
        <color theme="0"/>
      </right>
      <top style="medium">
        <color theme="0" tint="-0.249977111117893"/>
      </top>
      <bottom style="thin">
        <color theme="0"/>
      </bottom>
      <diagonal/>
    </border>
    <border>
      <left style="thin">
        <color theme="0"/>
      </left>
      <right style="thin">
        <color theme="0"/>
      </right>
      <top style="thin">
        <color theme="0"/>
      </top>
      <bottom/>
      <diagonal/>
    </border>
  </borders>
  <cellStyleXfs count="78">
    <xf numFmtId="0" fontId="0" fillId="0" borderId="0"/>
    <xf numFmtId="0" fontId="2" fillId="0" borderId="0" applyNumberFormat="0" applyFill="0" applyBorder="0" applyAlignment="0" applyProtection="0"/>
    <xf numFmtId="0" fontId="7" fillId="0" borderId="0">
      <alignment vertical="top"/>
    </xf>
    <xf numFmtId="165" fontId="5" fillId="0" borderId="0" applyFont="0" applyFill="0" applyBorder="0" applyAlignment="0" applyProtection="0"/>
    <xf numFmtId="0" fontId="5" fillId="6" borderId="0" applyNumberFormat="0" applyBorder="0" applyAlignment="0" applyProtection="0"/>
    <xf numFmtId="0" fontId="5" fillId="0" borderId="0"/>
    <xf numFmtId="9" fontId="5" fillId="0" borderId="0" applyFont="0" applyFill="0" applyBorder="0" applyAlignment="0" applyProtection="0"/>
    <xf numFmtId="170" fontId="3" fillId="0" borderId="0"/>
    <xf numFmtId="165" fontId="3" fillId="0" borderId="0" applyFont="0" applyFill="0" applyBorder="0" applyAlignment="0" applyProtection="0"/>
    <xf numFmtId="164" fontId="3" fillId="0" borderId="0" applyFont="0" applyFill="0" applyBorder="0" applyAlignment="0" applyProtection="0"/>
    <xf numFmtId="0" fontId="26" fillId="0" borderId="0"/>
    <xf numFmtId="165" fontId="27" fillId="0" borderId="0" applyFont="0" applyFill="0" applyBorder="0" applyAlignment="0" applyProtection="0"/>
    <xf numFmtId="9" fontId="27" fillId="0" borderId="0" applyFont="0" applyFill="0" applyBorder="0" applyAlignment="0" applyProtection="0"/>
    <xf numFmtId="0" fontId="29" fillId="0" borderId="0"/>
    <xf numFmtId="171" fontId="3" fillId="0" borderId="0"/>
    <xf numFmtId="165" fontId="5" fillId="0" borderId="0" applyFont="0" applyFill="0" applyBorder="0" applyAlignment="0" applyProtection="0"/>
    <xf numFmtId="9" fontId="3" fillId="0" borderId="0" applyFont="0" applyFill="0" applyBorder="0" applyAlignment="0" applyProtection="0"/>
    <xf numFmtId="0" fontId="5" fillId="0" borderId="0"/>
    <xf numFmtId="0" fontId="34" fillId="0" borderId="0" applyNumberFormat="0" applyProtection="0">
      <alignment horizontal="left"/>
    </xf>
    <xf numFmtId="0" fontId="35" fillId="0" borderId="18" applyNumberFormat="0" applyFont="0" applyProtection="0">
      <alignment wrapText="1"/>
    </xf>
    <xf numFmtId="0" fontId="36" fillId="0" borderId="19" applyNumberFormat="0" applyProtection="0">
      <alignment wrapText="1"/>
    </xf>
    <xf numFmtId="0" fontId="36" fillId="0" borderId="15" applyNumberFormat="0" applyProtection="0">
      <alignment wrapText="1"/>
    </xf>
    <xf numFmtId="0" fontId="35" fillId="0" borderId="20" applyNumberFormat="0" applyProtection="0">
      <alignment vertical="top" wrapText="1"/>
    </xf>
    <xf numFmtId="165" fontId="21" fillId="0" borderId="0" applyFont="0" applyFill="0" applyBorder="0" applyAlignment="0" applyProtection="0"/>
    <xf numFmtId="0" fontId="37" fillId="0" borderId="0" applyNumberFormat="0" applyFill="0" applyBorder="0" applyAlignment="0" applyProtection="0">
      <alignment vertical="top"/>
      <protection locked="0"/>
    </xf>
    <xf numFmtId="0" fontId="3" fillId="0" borderId="0"/>
    <xf numFmtId="0" fontId="3" fillId="0" borderId="0"/>
    <xf numFmtId="0" fontId="5" fillId="0" borderId="0"/>
    <xf numFmtId="0" fontId="3" fillId="0" borderId="0"/>
    <xf numFmtId="0" fontId="7" fillId="0" borderId="0">
      <alignment vertical="top"/>
    </xf>
    <xf numFmtId="165" fontId="7" fillId="0" borderId="0" applyFont="0" applyFill="0" applyBorder="0" applyAlignment="0" applyProtection="0">
      <alignment vertical="center"/>
    </xf>
    <xf numFmtId="0" fontId="21" fillId="0" borderId="0"/>
    <xf numFmtId="0" fontId="47" fillId="0" borderId="0" applyNumberFormat="0" applyFill="0" applyBorder="0" applyAlignment="0" applyProtection="0"/>
    <xf numFmtId="0" fontId="52" fillId="0" borderId="0" applyNumberFormat="0" applyFill="0" applyBorder="0" applyAlignment="0" applyProtection="0"/>
    <xf numFmtId="0" fontId="53" fillId="0" borderId="15" applyNumberFormat="0" applyFill="0" applyAlignment="0" applyProtection="0"/>
    <xf numFmtId="0" fontId="54" fillId="0" borderId="24" applyNumberFormat="0" applyFill="0" applyAlignment="0" applyProtection="0"/>
    <xf numFmtId="0" fontId="55" fillId="0" borderId="25" applyNumberFormat="0" applyFill="0" applyAlignment="0" applyProtection="0"/>
    <xf numFmtId="0" fontId="55" fillId="0" borderId="0" applyNumberFormat="0" applyFill="0" applyBorder="0" applyAlignment="0" applyProtection="0"/>
    <xf numFmtId="0" fontId="56" fillId="21" borderId="0" applyNumberFormat="0" applyBorder="0" applyAlignment="0" applyProtection="0"/>
    <xf numFmtId="0" fontId="57" fillId="22" borderId="0" applyNumberFormat="0" applyBorder="0" applyAlignment="0" applyProtection="0"/>
    <xf numFmtId="0" fontId="58" fillId="24" borderId="26" applyNumberFormat="0" applyAlignment="0" applyProtection="0"/>
    <xf numFmtId="0" fontId="59" fillId="25" borderId="27" applyNumberFormat="0" applyAlignment="0" applyProtection="0"/>
    <xf numFmtId="0" fontId="60" fillId="25" borderId="26" applyNumberFormat="0" applyAlignment="0" applyProtection="0"/>
    <xf numFmtId="0" fontId="61" fillId="0" borderId="28" applyNumberFormat="0" applyFill="0" applyAlignment="0" applyProtection="0"/>
    <xf numFmtId="0" fontId="39" fillId="26" borderId="29" applyNumberFormat="0" applyAlignment="0" applyProtection="0"/>
    <xf numFmtId="0" fontId="62" fillId="0" borderId="0" applyNumberFormat="0" applyFill="0" applyBorder="0" applyAlignment="0" applyProtection="0"/>
    <xf numFmtId="0" fontId="5" fillId="27" borderId="30" applyNumberFormat="0" applyFont="0" applyAlignment="0" applyProtection="0"/>
    <xf numFmtId="0" fontId="63" fillId="0" borderId="0" applyNumberFormat="0" applyFill="0" applyBorder="0" applyAlignment="0" applyProtection="0"/>
    <xf numFmtId="0" fontId="6" fillId="0" borderId="31" applyNumberFormat="0" applyFill="0" applyAlignment="0" applyProtection="0"/>
    <xf numFmtId="0" fontId="40" fillId="28" borderId="0" applyNumberFormat="0" applyBorder="0" applyAlignment="0" applyProtection="0"/>
    <xf numFmtId="0" fontId="5" fillId="29" borderId="0" applyNumberFormat="0" applyBorder="0" applyAlignment="0" applyProtection="0"/>
    <xf numFmtId="0" fontId="4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0"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40"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40"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40"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3" fillId="0" borderId="0"/>
    <xf numFmtId="0" fontId="75" fillId="23"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0" fillId="38" borderId="0" applyNumberFormat="0" applyBorder="0" applyAlignment="0" applyProtection="0"/>
    <xf numFmtId="0" fontId="40" fillId="42" borderId="0" applyNumberFormat="0" applyBorder="0" applyAlignment="0" applyProtection="0"/>
    <xf numFmtId="0" fontId="40" fillId="46" borderId="0" applyNumberFormat="0" applyBorder="0" applyAlignment="0" applyProtection="0"/>
    <xf numFmtId="0" fontId="40" fillId="50" borderId="0" applyNumberFormat="0" applyBorder="0" applyAlignment="0" applyProtection="0"/>
    <xf numFmtId="0" fontId="81" fillId="0" borderId="0"/>
    <xf numFmtId="0" fontId="21" fillId="0" borderId="0"/>
    <xf numFmtId="0" fontId="21" fillId="0" borderId="0"/>
    <xf numFmtId="183" fontId="5" fillId="0" borderId="0" applyFont="0" applyFill="0" applyBorder="0" applyAlignment="0" applyProtection="0"/>
  </cellStyleXfs>
  <cellXfs count="1799">
    <xf numFmtId="0" fontId="0" fillId="0" borderId="0" xfId="0"/>
    <xf numFmtId="0" fontId="0" fillId="0" borderId="0" xfId="0" applyAlignment="1">
      <alignment horizontal="center" vertical="center"/>
    </xf>
    <xf numFmtId="0" fontId="10" fillId="0" borderId="0" xfId="0" applyFont="1"/>
    <xf numFmtId="0" fontId="0" fillId="0" borderId="0" xfId="0" applyAlignment="1">
      <alignment horizontal="center" vertical="center" wrapText="1"/>
    </xf>
    <xf numFmtId="0" fontId="15" fillId="0" borderId="0" xfId="0" applyFont="1"/>
    <xf numFmtId="0" fontId="6" fillId="0" borderId="0" xfId="0" applyFont="1"/>
    <xf numFmtId="0" fontId="17" fillId="0" borderId="0" xfId="0" applyFont="1"/>
    <xf numFmtId="0" fontId="0" fillId="5" borderId="0" xfId="0" applyFill="1"/>
    <xf numFmtId="0" fontId="0" fillId="4" borderId="1" xfId="0" applyFill="1" applyBorder="1"/>
    <xf numFmtId="4" fontId="0" fillId="0" borderId="0" xfId="0" applyNumberFormat="1" applyAlignment="1">
      <alignment horizontal="center" vertical="center"/>
    </xf>
    <xf numFmtId="0" fontId="2" fillId="0" borderId="0" xfId="1"/>
    <xf numFmtId="0" fontId="6" fillId="7" borderId="1" xfId="0" applyFont="1" applyFill="1" applyBorder="1" applyAlignment="1">
      <alignment horizontal="center" vertical="center"/>
    </xf>
    <xf numFmtId="0" fontId="19" fillId="0" borderId="0" xfId="0" applyFont="1"/>
    <xf numFmtId="0" fontId="31" fillId="0" borderId="0" xfId="0" applyFont="1"/>
    <xf numFmtId="0" fontId="31" fillId="0" borderId="0" xfId="0" applyFont="1" applyAlignment="1">
      <alignment horizontal="center" vertical="center"/>
    </xf>
    <xf numFmtId="0" fontId="31" fillId="0" borderId="0" xfId="0" applyFont="1" applyAlignment="1">
      <alignment horizontal="center" vertical="center" wrapText="1"/>
    </xf>
    <xf numFmtId="0" fontId="32" fillId="0" borderId="0" xfId="0" applyFont="1"/>
    <xf numFmtId="0" fontId="32" fillId="0" borderId="0" xfId="0" applyFont="1" applyAlignment="1">
      <alignment horizontal="center" vertical="center"/>
    </xf>
    <xf numFmtId="0" fontId="32" fillId="0" borderId="0" xfId="0" applyFont="1" applyAlignment="1">
      <alignment horizontal="center" vertical="center" wrapText="1"/>
    </xf>
    <xf numFmtId="10" fontId="0" fillId="0" borderId="0" xfId="0" applyNumberFormat="1" applyAlignment="1">
      <alignment horizontal="center" vertical="center" wrapText="1"/>
    </xf>
    <xf numFmtId="9" fontId="0" fillId="0" borderId="0" xfId="0" applyNumberFormat="1" applyAlignment="1">
      <alignment horizontal="center" vertical="center" wrapText="1"/>
    </xf>
    <xf numFmtId="0" fontId="33" fillId="0" borderId="0" xfId="0" applyFont="1" applyAlignment="1">
      <alignment horizontal="left" vertical="center" wrapText="1"/>
    </xf>
    <xf numFmtId="0" fontId="0" fillId="4" borderId="1" xfId="0" applyFill="1" applyBorder="1" applyAlignment="1">
      <alignment horizontal="left"/>
    </xf>
    <xf numFmtId="165" fontId="0" fillId="5" borderId="0" xfId="3" applyFont="1" applyFill="1"/>
    <xf numFmtId="0" fontId="1" fillId="0" borderId="0" xfId="0" applyFont="1"/>
    <xf numFmtId="0" fontId="0" fillId="0" borderId="0" xfId="0" applyProtection="1">
      <protection locked="0"/>
    </xf>
    <xf numFmtId="0" fontId="50" fillId="0" borderId="0" xfId="0" applyFont="1"/>
    <xf numFmtId="0" fontId="15" fillId="0" borderId="0" xfId="0" applyFont="1" applyAlignment="1">
      <alignment vertical="center"/>
    </xf>
    <xf numFmtId="0" fontId="41" fillId="10" borderId="5" xfId="0" applyFont="1" applyFill="1" applyBorder="1" applyAlignment="1">
      <alignment horizontal="center" vertical="center"/>
    </xf>
    <xf numFmtId="175" fontId="41" fillId="10" borderId="6" xfId="3" applyNumberFormat="1" applyFont="1" applyFill="1" applyBorder="1" applyAlignment="1">
      <alignment horizontal="center" vertical="center"/>
    </xf>
    <xf numFmtId="0" fontId="9" fillId="0" borderId="0" xfId="0" applyFont="1" applyAlignment="1">
      <alignment horizontal="center" vertical="center"/>
    </xf>
    <xf numFmtId="0" fontId="13" fillId="51" borderId="1" xfId="0" applyFont="1" applyFill="1" applyBorder="1"/>
    <xf numFmtId="0" fontId="40" fillId="51" borderId="1" xfId="0" applyFont="1" applyFill="1" applyBorder="1" applyAlignment="1">
      <alignment horizontal="right"/>
    </xf>
    <xf numFmtId="0" fontId="13" fillId="51" borderId="1" xfId="0" applyFont="1" applyFill="1" applyBorder="1" applyAlignment="1">
      <alignment horizontal="left"/>
    </xf>
    <xf numFmtId="0" fontId="40" fillId="52" borderId="1" xfId="0" applyFont="1" applyFill="1" applyBorder="1" applyAlignment="1">
      <alignment horizontal="right"/>
    </xf>
    <xf numFmtId="0" fontId="13" fillId="52" borderId="1" xfId="0" applyFont="1" applyFill="1" applyBorder="1"/>
    <xf numFmtId="0" fontId="39" fillId="53" borderId="1" xfId="0" applyFont="1" applyFill="1" applyBorder="1"/>
    <xf numFmtId="0" fontId="39" fillId="53" borderId="1" xfId="0" applyFont="1" applyFill="1" applyBorder="1" applyAlignment="1">
      <alignment wrapText="1"/>
    </xf>
    <xf numFmtId="0" fontId="39" fillId="20" borderId="1" xfId="0" applyFont="1" applyFill="1" applyBorder="1"/>
    <xf numFmtId="0" fontId="0" fillId="0" borderId="1" xfId="0" applyBorder="1"/>
    <xf numFmtId="167" fontId="23" fillId="0" borderId="1" xfId="3" applyNumberFormat="1" applyFont="1" applyFill="1" applyBorder="1" applyAlignment="1">
      <alignment horizontal="center"/>
    </xf>
    <xf numFmtId="167" fontId="42" fillId="0" borderId="1" xfId="3" applyNumberFormat="1" applyFont="1" applyFill="1" applyBorder="1" applyAlignment="1">
      <alignment horizontal="center"/>
    </xf>
    <xf numFmtId="167" fontId="23" fillId="0" borderId="1" xfId="3" applyNumberFormat="1" applyFont="1" applyBorder="1" applyAlignment="1">
      <alignment horizontal="center"/>
    </xf>
    <xf numFmtId="0" fontId="43" fillId="8" borderId="1" xfId="0" applyFont="1" applyFill="1" applyBorder="1" applyAlignment="1">
      <alignment wrapText="1"/>
    </xf>
    <xf numFmtId="0" fontId="43" fillId="8" borderId="1" xfId="0" applyFont="1" applyFill="1" applyBorder="1"/>
    <xf numFmtId="3" fontId="43" fillId="8" borderId="1" xfId="0" applyNumberFormat="1" applyFont="1" applyFill="1" applyBorder="1" applyAlignment="1">
      <alignment horizontal="center"/>
    </xf>
    <xf numFmtId="167" fontId="23" fillId="0" borderId="1" xfId="3" quotePrefix="1" applyNumberFormat="1" applyFont="1" applyFill="1" applyBorder="1" applyAlignment="1">
      <alignment horizontal="center"/>
    </xf>
    <xf numFmtId="0" fontId="43" fillId="20" borderId="1" xfId="0" applyFont="1" applyFill="1" applyBorder="1"/>
    <xf numFmtId="0" fontId="69" fillId="0" borderId="0" xfId="0" applyFont="1"/>
    <xf numFmtId="0" fontId="6" fillId="5" borderId="0" xfId="0" applyFont="1" applyFill="1"/>
    <xf numFmtId="174" fontId="13" fillId="8" borderId="1" xfId="6" applyNumberFormat="1" applyFont="1" applyFill="1" applyBorder="1" applyAlignment="1">
      <alignment horizontal="center"/>
    </xf>
    <xf numFmtId="9" fontId="0" fillId="5" borderId="0" xfId="6" applyFont="1" applyFill="1"/>
    <xf numFmtId="0" fontId="6" fillId="60" borderId="35" xfId="0" applyFont="1" applyFill="1" applyBorder="1" applyAlignment="1">
      <alignment vertical="center" wrapText="1"/>
    </xf>
    <xf numFmtId="0" fontId="73" fillId="60" borderId="36" xfId="0" applyFont="1" applyFill="1" applyBorder="1" applyAlignment="1">
      <alignment vertical="center" wrapText="1"/>
    </xf>
    <xf numFmtId="0" fontId="0" fillId="60" borderId="36" xfId="0" applyFill="1" applyBorder="1" applyAlignment="1">
      <alignment vertical="top" wrapText="1"/>
    </xf>
    <xf numFmtId="0" fontId="0" fillId="60" borderId="37" xfId="0" applyFill="1" applyBorder="1" applyAlignment="1">
      <alignment vertical="top" wrapText="1"/>
    </xf>
    <xf numFmtId="0" fontId="73" fillId="60" borderId="45" xfId="0" applyFont="1" applyFill="1" applyBorder="1" applyAlignment="1">
      <alignment vertical="center" wrapText="1"/>
    </xf>
    <xf numFmtId="0" fontId="73" fillId="60" borderId="34" xfId="0" applyFont="1" applyFill="1" applyBorder="1" applyAlignment="1">
      <alignment vertical="center" wrapText="1"/>
    </xf>
    <xf numFmtId="0" fontId="0" fillId="60" borderId="36" xfId="0" applyFill="1" applyBorder="1" applyAlignment="1">
      <alignment horizontal="center" vertical="center" wrapText="1"/>
    </xf>
    <xf numFmtId="2" fontId="3" fillId="54" borderId="0" xfId="74" applyNumberFormat="1" applyFont="1" applyFill="1" applyAlignment="1">
      <alignment vertical="center"/>
    </xf>
    <xf numFmtId="2" fontId="4" fillId="4" borderId="54" xfId="74" applyNumberFormat="1" applyFont="1" applyFill="1" applyBorder="1" applyAlignment="1">
      <alignment horizontal="center" vertical="center" wrapText="1"/>
    </xf>
    <xf numFmtId="2" fontId="4" fillId="4" borderId="55" xfId="74" applyNumberFormat="1" applyFont="1" applyFill="1" applyBorder="1" applyAlignment="1">
      <alignment horizontal="center" vertical="center" wrapText="1"/>
    </xf>
    <xf numFmtId="2" fontId="4" fillId="4" borderId="56" xfId="74" applyNumberFormat="1" applyFont="1" applyFill="1" applyBorder="1" applyAlignment="1">
      <alignment horizontal="center" vertical="center" wrapText="1"/>
    </xf>
    <xf numFmtId="177" fontId="3" fillId="0" borderId="39" xfId="0" applyNumberFormat="1" applyFont="1" applyBorder="1"/>
    <xf numFmtId="165" fontId="3" fillId="0" borderId="1" xfId="3" applyFont="1" applyBorder="1" applyAlignment="1">
      <alignment horizontal="right"/>
    </xf>
    <xf numFmtId="165" fontId="82" fillId="0" borderId="1" xfId="3" applyFont="1" applyBorder="1" applyAlignment="1">
      <alignment horizontal="right"/>
    </xf>
    <xf numFmtId="2" fontId="3" fillId="0" borderId="1" xfId="0" applyNumberFormat="1" applyFont="1" applyBorder="1" applyAlignment="1">
      <alignment horizontal="right"/>
    </xf>
    <xf numFmtId="2" fontId="3" fillId="0" borderId="41" xfId="0" applyNumberFormat="1" applyFont="1" applyBorder="1" applyAlignment="1">
      <alignment horizontal="right"/>
    </xf>
    <xf numFmtId="0" fontId="0" fillId="4" borderId="1" xfId="0" applyFill="1" applyBorder="1" applyAlignment="1">
      <alignment horizontal="left" vertical="center"/>
    </xf>
    <xf numFmtId="4" fontId="0" fillId="4" borderId="1" xfId="0" applyNumberFormat="1" applyFill="1" applyBorder="1"/>
    <xf numFmtId="0" fontId="17" fillId="0" borderId="11" xfId="0" applyFont="1" applyBorder="1"/>
    <xf numFmtId="0" fontId="6" fillId="63" borderId="1" xfId="0" applyFont="1" applyFill="1" applyBorder="1" applyAlignment="1">
      <alignment wrapText="1"/>
    </xf>
    <xf numFmtId="0" fontId="6" fillId="63" borderId="11" xfId="0" applyFont="1" applyFill="1" applyBorder="1" applyAlignment="1">
      <alignment wrapText="1"/>
    </xf>
    <xf numFmtId="0" fontId="6" fillId="63" borderId="5" xfId="0" applyFont="1" applyFill="1" applyBorder="1" applyAlignment="1">
      <alignment wrapText="1"/>
    </xf>
    <xf numFmtId="167" fontId="0" fillId="13" borderId="1" xfId="3" applyNumberFormat="1" applyFont="1" applyFill="1" applyBorder="1"/>
    <xf numFmtId="178" fontId="0" fillId="13" borderId="1" xfId="0" applyNumberFormat="1" applyFill="1" applyBorder="1"/>
    <xf numFmtId="0" fontId="0" fillId="13" borderId="3" xfId="0" applyFill="1" applyBorder="1"/>
    <xf numFmtId="165" fontId="0" fillId="13" borderId="2" xfId="3" applyFont="1" applyFill="1" applyBorder="1"/>
    <xf numFmtId="9" fontId="0" fillId="9" borderId="2" xfId="3" applyNumberFormat="1" applyFont="1" applyFill="1" applyBorder="1"/>
    <xf numFmtId="167" fontId="0" fillId="14" borderId="1" xfId="3" applyNumberFormat="1" applyFont="1" applyFill="1" applyBorder="1"/>
    <xf numFmtId="168" fontId="0" fillId="14" borderId="1" xfId="3" applyNumberFormat="1" applyFont="1" applyFill="1" applyBorder="1"/>
    <xf numFmtId="168" fontId="0" fillId="14" borderId="1" xfId="0" applyNumberFormat="1" applyFill="1" applyBorder="1"/>
    <xf numFmtId="0" fontId="0" fillId="9" borderId="0" xfId="0" applyFill="1"/>
    <xf numFmtId="9" fontId="0" fillId="64" borderId="57" xfId="0" applyNumberFormat="1" applyFill="1" applyBorder="1"/>
    <xf numFmtId="168" fontId="0" fillId="64" borderId="57" xfId="3" applyNumberFormat="1" applyFont="1" applyFill="1" applyBorder="1"/>
    <xf numFmtId="0" fontId="0" fillId="0" borderId="57" xfId="0" applyBorder="1"/>
    <xf numFmtId="167" fontId="0" fillId="0" borderId="0" xfId="0" applyNumberFormat="1"/>
    <xf numFmtId="0" fontId="0" fillId="66" borderId="1" xfId="0" applyFill="1" applyBorder="1"/>
    <xf numFmtId="167" fontId="0" fillId="66" borderId="1" xfId="0" applyNumberFormat="1" applyFill="1" applyBorder="1"/>
    <xf numFmtId="167" fontId="0" fillId="66" borderId="7" xfId="0" applyNumberFormat="1" applyFill="1" applyBorder="1"/>
    <xf numFmtId="168" fontId="6" fillId="9" borderId="1" xfId="3" applyNumberFormat="1" applyFont="1" applyFill="1" applyBorder="1"/>
    <xf numFmtId="0" fontId="6" fillId="4" borderId="1" xfId="0" applyFont="1" applyFill="1" applyBorder="1" applyAlignment="1">
      <alignment horizontal="center" vertical="center" wrapText="1"/>
    </xf>
    <xf numFmtId="0" fontId="9" fillId="0" borderId="0" xfId="0" applyFont="1" applyAlignment="1">
      <alignment horizontal="center" vertical="center" wrapText="1"/>
    </xf>
    <xf numFmtId="0" fontId="8" fillId="0" borderId="0" xfId="0" applyFont="1"/>
    <xf numFmtId="0" fontId="16" fillId="5" borderId="0" xfId="0" applyFont="1" applyFill="1"/>
    <xf numFmtId="0" fontId="13" fillId="4" borderId="1" xfId="0" applyFont="1" applyFill="1" applyBorder="1" applyAlignment="1">
      <alignment horizontal="center" vertical="center" wrapText="1"/>
    </xf>
    <xf numFmtId="174" fontId="23" fillId="0" borderId="1" xfId="6" applyNumberFormat="1" applyFont="1" applyFill="1" applyBorder="1" applyAlignment="1">
      <alignment horizontal="center"/>
    </xf>
    <xf numFmtId="0" fontId="41" fillId="52" borderId="1" xfId="0" applyFont="1" applyFill="1" applyBorder="1" applyAlignment="1">
      <alignment horizontal="center" vertical="center"/>
    </xf>
    <xf numFmtId="0" fontId="0" fillId="51" borderId="1" xfId="0" applyFill="1" applyBorder="1"/>
    <xf numFmtId="0" fontId="39" fillId="51" borderId="1" xfId="0" applyFont="1" applyFill="1" applyBorder="1" applyAlignment="1">
      <alignment wrapText="1"/>
    </xf>
    <xf numFmtId="167" fontId="13" fillId="51" borderId="1" xfId="3" applyNumberFormat="1" applyFont="1" applyFill="1" applyBorder="1" applyAlignment="1">
      <alignment horizontal="center"/>
    </xf>
    <xf numFmtId="174" fontId="13" fillId="51" borderId="1" xfId="6" applyNumberFormat="1" applyFont="1" applyFill="1" applyBorder="1" applyAlignment="1">
      <alignment horizontal="center"/>
    </xf>
    <xf numFmtId="0" fontId="43" fillId="51" borderId="1" xfId="0" applyFont="1" applyFill="1" applyBorder="1"/>
    <xf numFmtId="0" fontId="39" fillId="52" borderId="1" xfId="0" applyFont="1" applyFill="1" applyBorder="1" applyAlignment="1">
      <alignment horizontal="center" vertical="center"/>
    </xf>
    <xf numFmtId="167" fontId="39" fillId="52" borderId="1" xfId="3" applyNumberFormat="1" applyFont="1" applyFill="1" applyBorder="1" applyAlignment="1">
      <alignment horizontal="center"/>
    </xf>
    <xf numFmtId="174" fontId="39" fillId="52" borderId="1" xfId="6" applyNumberFormat="1" applyFont="1" applyFill="1" applyBorder="1" applyAlignment="1">
      <alignment horizontal="center"/>
    </xf>
    <xf numFmtId="0" fontId="0" fillId="8" borderId="1" xfId="0" applyFill="1" applyBorder="1"/>
    <xf numFmtId="0" fontId="39" fillId="8" borderId="1" xfId="0" applyFont="1" applyFill="1" applyBorder="1"/>
    <xf numFmtId="167" fontId="13" fillId="8" borderId="1" xfId="3" applyNumberFormat="1" applyFont="1" applyFill="1" applyBorder="1" applyAlignment="1">
      <alignment horizontal="center"/>
    </xf>
    <xf numFmtId="0" fontId="41" fillId="52" borderId="1" xfId="0" applyFont="1" applyFill="1" applyBorder="1" applyAlignment="1">
      <alignment horizontal="left" vertical="center"/>
    </xf>
    <xf numFmtId="0" fontId="41" fillId="8" borderId="1" xfId="0" applyFont="1" applyFill="1" applyBorder="1"/>
    <xf numFmtId="0" fontId="41" fillId="51" borderId="1" xfId="0" applyFont="1" applyFill="1" applyBorder="1"/>
    <xf numFmtId="0" fontId="0" fillId="0" borderId="5" xfId="0" applyBorder="1"/>
    <xf numFmtId="0" fontId="13" fillId="52" borderId="5" xfId="0" applyFont="1" applyFill="1" applyBorder="1"/>
    <xf numFmtId="167" fontId="23" fillId="0" borderId="5" xfId="3" applyNumberFormat="1" applyFont="1" applyFill="1" applyBorder="1" applyAlignment="1">
      <alignment horizontal="center"/>
    </xf>
    <xf numFmtId="0" fontId="0" fillId="0" borderId="7" xfId="0" applyBorder="1"/>
    <xf numFmtId="0" fontId="43" fillId="8" borderId="7" xfId="0" applyFont="1" applyFill="1" applyBorder="1" applyAlignment="1">
      <alignment wrapText="1"/>
    </xf>
    <xf numFmtId="174" fontId="13" fillId="8" borderId="7" xfId="6" applyNumberFormat="1" applyFont="1" applyFill="1" applyBorder="1" applyAlignment="1">
      <alignment horizontal="center"/>
    </xf>
    <xf numFmtId="0" fontId="13" fillId="51" borderId="1" xfId="0" applyFont="1" applyFill="1" applyBorder="1" applyAlignment="1">
      <alignment wrapText="1"/>
    </xf>
    <xf numFmtId="0" fontId="0" fillId="2" borderId="1" xfId="0" applyFill="1" applyBorder="1"/>
    <xf numFmtId="0" fontId="0" fillId="58" borderId="1" xfId="0" applyFill="1" applyBorder="1"/>
    <xf numFmtId="167" fontId="23" fillId="58" borderId="1" xfId="3" applyNumberFormat="1" applyFont="1" applyFill="1" applyBorder="1" applyAlignment="1">
      <alignment horizontal="center"/>
    </xf>
    <xf numFmtId="167" fontId="42" fillId="58" borderId="1" xfId="3" applyNumberFormat="1" applyFont="1" applyFill="1" applyBorder="1" applyAlignment="1">
      <alignment horizontal="center"/>
    </xf>
    <xf numFmtId="167" fontId="23" fillId="2" borderId="1" xfId="3" applyNumberFormat="1" applyFont="1" applyFill="1" applyBorder="1" applyAlignment="1">
      <alignment horizontal="center"/>
    </xf>
    <xf numFmtId="167" fontId="42" fillId="2" borderId="1" xfId="3" applyNumberFormat="1" applyFont="1" applyFill="1" applyBorder="1" applyAlignment="1">
      <alignment horizontal="center"/>
    </xf>
    <xf numFmtId="0" fontId="43" fillId="51" borderId="1" xfId="0" applyFont="1" applyFill="1" applyBorder="1" applyAlignment="1">
      <alignment horizontal="center" wrapText="1"/>
    </xf>
    <xf numFmtId="0" fontId="13" fillId="68" borderId="1" xfId="0" applyFont="1" applyFill="1" applyBorder="1"/>
    <xf numFmtId="0" fontId="40" fillId="51" borderId="1" xfId="0" applyFont="1" applyFill="1" applyBorder="1" applyAlignment="1">
      <alignment horizontal="right" wrapText="1"/>
    </xf>
    <xf numFmtId="167" fontId="23" fillId="8" borderId="7" xfId="3" applyNumberFormat="1" applyFont="1" applyFill="1" applyBorder="1" applyAlignment="1">
      <alignment horizontal="center"/>
    </xf>
    <xf numFmtId="167" fontId="23" fillId="8" borderId="1" xfId="3" applyNumberFormat="1" applyFont="1" applyFill="1" applyBorder="1" applyAlignment="1">
      <alignment horizontal="center"/>
    </xf>
    <xf numFmtId="174" fontId="23" fillId="2" borderId="1" xfId="6" applyNumberFormat="1" applyFont="1" applyFill="1" applyBorder="1" applyAlignment="1">
      <alignment horizontal="center"/>
    </xf>
    <xf numFmtId="174" fontId="42" fillId="2" borderId="1" xfId="6" applyNumberFormat="1" applyFont="1" applyFill="1" applyBorder="1" applyAlignment="1">
      <alignment horizontal="center"/>
    </xf>
    <xf numFmtId="174" fontId="42" fillId="58" borderId="1" xfId="6" applyNumberFormat="1" applyFont="1" applyFill="1" applyBorder="1" applyAlignment="1">
      <alignment horizontal="center"/>
    </xf>
    <xf numFmtId="174" fontId="42" fillId="0" borderId="1" xfId="6" applyNumberFormat="1" applyFont="1" applyFill="1" applyBorder="1" applyAlignment="1">
      <alignment horizontal="center"/>
    </xf>
    <xf numFmtId="174" fontId="23" fillId="58" borderId="1" xfId="6" applyNumberFormat="1" applyFont="1" applyFill="1" applyBorder="1" applyAlignment="1">
      <alignment horizontal="center"/>
    </xf>
    <xf numFmtId="167" fontId="0" fillId="5" borderId="0" xfId="0" applyNumberFormat="1" applyFill="1"/>
    <xf numFmtId="0" fontId="0" fillId="2" borderId="0" xfId="0" applyFill="1"/>
    <xf numFmtId="0" fontId="0" fillId="2" borderId="0" xfId="0" applyFill="1" applyAlignment="1">
      <alignment wrapText="1"/>
    </xf>
    <xf numFmtId="0" fontId="64"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horizontal="left" vertical="center" wrapText="1"/>
    </xf>
    <xf numFmtId="0" fontId="65" fillId="2" borderId="0" xfId="0" applyFont="1" applyFill="1" applyAlignment="1">
      <alignment horizontal="left" vertical="center" wrapText="1"/>
    </xf>
    <xf numFmtId="0" fontId="41" fillId="69" borderId="58" xfId="0" applyFont="1" applyFill="1" applyBorder="1" applyAlignment="1">
      <alignment horizontal="center" vertical="center" wrapText="1"/>
    </xf>
    <xf numFmtId="0" fontId="62" fillId="5" borderId="0" xfId="0" applyFont="1" applyFill="1" applyAlignment="1">
      <alignment horizontal="center"/>
    </xf>
    <xf numFmtId="0" fontId="0" fillId="5" borderId="0" xfId="0" applyFill="1" applyAlignment="1">
      <alignment horizontal="center"/>
    </xf>
    <xf numFmtId="0" fontId="78" fillId="59" borderId="33" xfId="0" applyFont="1" applyFill="1" applyBorder="1" applyAlignment="1">
      <alignment vertical="center" wrapText="1"/>
    </xf>
    <xf numFmtId="0" fontId="78" fillId="59" borderId="34" xfId="0" applyFont="1" applyFill="1" applyBorder="1" applyAlignment="1">
      <alignment vertical="center" wrapText="1"/>
    </xf>
    <xf numFmtId="0" fontId="0" fillId="5" borderId="0" xfId="0" applyFill="1" applyProtection="1">
      <protection locked="0"/>
    </xf>
    <xf numFmtId="0" fontId="2" fillId="2" borderId="0" xfId="1" applyFill="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0" fontId="0" fillId="2" borderId="0" xfId="0" applyFill="1" applyAlignment="1" applyProtection="1">
      <alignment horizontal="left" vertical="top" wrapText="1"/>
      <protection locked="0"/>
    </xf>
    <xf numFmtId="0" fontId="0" fillId="2" borderId="0" xfId="0" applyFill="1" applyProtection="1">
      <protection locked="0"/>
    </xf>
    <xf numFmtId="0" fontId="0" fillId="2" borderId="0" xfId="0" applyFill="1" applyAlignment="1" applyProtection="1">
      <alignment horizontal="center"/>
      <protection locked="0"/>
    </xf>
    <xf numFmtId="0" fontId="0" fillId="2" borderId="0" xfId="0" applyFill="1" applyAlignment="1" applyProtection="1">
      <alignment wrapText="1"/>
      <protection locked="0"/>
    </xf>
    <xf numFmtId="0" fontId="2" fillId="2" borderId="0" xfId="1" applyFill="1" applyAlignment="1" applyProtection="1">
      <alignment horizontal="center"/>
      <protection locked="0"/>
    </xf>
    <xf numFmtId="0" fontId="0" fillId="5" borderId="0" xfId="0" applyFill="1" applyAlignment="1">
      <alignment wrapText="1"/>
    </xf>
    <xf numFmtId="0" fontId="1" fillId="5" borderId="41" xfId="0" applyFont="1" applyFill="1" applyBorder="1"/>
    <xf numFmtId="0" fontId="1" fillId="5" borderId="41" xfId="0" applyFont="1" applyFill="1" applyBorder="1" applyAlignment="1">
      <alignment wrapText="1"/>
    </xf>
    <xf numFmtId="0" fontId="76" fillId="5" borderId="0" xfId="0" applyFont="1" applyFill="1"/>
    <xf numFmtId="0" fontId="2" fillId="5" borderId="0" xfId="1" applyFill="1" applyAlignment="1" applyProtection="1">
      <alignment horizontal="left" vertical="top" wrapText="1"/>
    </xf>
    <xf numFmtId="9" fontId="0" fillId="0" borderId="0" xfId="6" applyFont="1" applyFill="1" applyBorder="1"/>
    <xf numFmtId="0" fontId="0" fillId="0" borderId="1" xfId="0" applyBorder="1" applyAlignment="1">
      <alignment horizontal="right" vertical="top" wrapText="1"/>
    </xf>
    <xf numFmtId="0" fontId="62" fillId="0" borderId="0" xfId="0" applyFont="1"/>
    <xf numFmtId="0" fontId="0" fillId="0" borderId="1" xfId="0" applyBorder="1" applyAlignment="1">
      <alignment horizontal="left" vertical="top" wrapText="1"/>
    </xf>
    <xf numFmtId="0" fontId="6" fillId="4" borderId="1" xfId="0" applyFont="1" applyFill="1" applyBorder="1" applyAlignment="1">
      <alignment horizontal="left" vertical="top" wrapText="1"/>
    </xf>
    <xf numFmtId="0" fontId="6" fillId="72" borderId="61" xfId="0" applyFont="1" applyFill="1" applyBorder="1" applyAlignment="1">
      <alignment horizontal="left" vertical="top"/>
    </xf>
    <xf numFmtId="0" fontId="13" fillId="75" borderId="61" xfId="0" applyFont="1" applyFill="1" applyBorder="1" applyAlignment="1">
      <alignment horizontal="left" vertical="top"/>
    </xf>
    <xf numFmtId="0" fontId="13" fillId="72" borderId="61" xfId="0" applyFont="1" applyFill="1" applyBorder="1" applyAlignment="1">
      <alignment horizontal="left" vertical="top"/>
    </xf>
    <xf numFmtId="0" fontId="0" fillId="0" borderId="61" xfId="0" applyBorder="1" applyAlignment="1">
      <alignment horizontal="left" vertical="top"/>
    </xf>
    <xf numFmtId="173" fontId="16" fillId="75" borderId="61" xfId="0" applyNumberFormat="1" applyFont="1" applyFill="1" applyBorder="1" applyAlignment="1">
      <alignment horizontal="right" vertical="top"/>
    </xf>
    <xf numFmtId="173" fontId="16" fillId="0" borderId="61" xfId="0" applyNumberFormat="1" applyFont="1" applyBorder="1" applyAlignment="1">
      <alignment horizontal="right" vertical="top"/>
    </xf>
    <xf numFmtId="181" fontId="16" fillId="0" borderId="61" xfId="0" applyNumberFormat="1" applyFont="1" applyBorder="1" applyAlignment="1">
      <alignment horizontal="right" vertical="top"/>
    </xf>
    <xf numFmtId="0" fontId="16" fillId="0" borderId="61" xfId="0" applyFont="1" applyBorder="1" applyAlignment="1">
      <alignment horizontal="left" vertical="top"/>
    </xf>
    <xf numFmtId="0" fontId="39" fillId="71" borderId="62" xfId="0" applyFont="1" applyFill="1" applyBorder="1" applyAlignment="1">
      <alignment horizontal="left"/>
    </xf>
    <xf numFmtId="0" fontId="6" fillId="0" borderId="0" xfId="0" applyFont="1" applyAlignment="1">
      <alignment horizontal="left" vertical="top"/>
    </xf>
    <xf numFmtId="173" fontId="16" fillId="0" borderId="62" xfId="0" applyNumberFormat="1" applyFont="1" applyBorder="1" applyAlignment="1">
      <alignment horizontal="right" vertical="top"/>
    </xf>
    <xf numFmtId="173" fontId="16" fillId="0" borderId="1" xfId="0" applyNumberFormat="1" applyFont="1" applyBorder="1" applyAlignment="1">
      <alignment horizontal="right" vertical="top"/>
    </xf>
    <xf numFmtId="173" fontId="0" fillId="0" borderId="0" xfId="0" applyNumberFormat="1" applyAlignment="1">
      <alignment horizontal="right" vertical="top"/>
    </xf>
    <xf numFmtId="181" fontId="16" fillId="0" borderId="62" xfId="0" applyNumberFormat="1" applyFont="1" applyBorder="1" applyAlignment="1">
      <alignment horizontal="right" vertical="top"/>
    </xf>
    <xf numFmtId="181" fontId="16" fillId="0" borderId="1" xfId="0" applyNumberFormat="1" applyFont="1" applyBorder="1" applyAlignment="1">
      <alignment horizontal="right" vertical="top"/>
    </xf>
    <xf numFmtId="0" fontId="16" fillId="4" borderId="63" xfId="0" applyFont="1" applyFill="1" applyBorder="1"/>
    <xf numFmtId="0" fontId="16" fillId="4" borderId="64" xfId="0" applyFont="1" applyFill="1" applyBorder="1"/>
    <xf numFmtId="0" fontId="16" fillId="4" borderId="65" xfId="0" applyFont="1" applyFill="1" applyBorder="1"/>
    <xf numFmtId="0" fontId="16" fillId="4" borderId="66" xfId="0" applyFont="1" applyFill="1" applyBorder="1"/>
    <xf numFmtId="0" fontId="16" fillId="4" borderId="0" xfId="0" applyFont="1" applyFill="1"/>
    <xf numFmtId="0" fontId="16" fillId="4" borderId="67" xfId="0" applyFont="1" applyFill="1" applyBorder="1"/>
    <xf numFmtId="169" fontId="16" fillId="0" borderId="61" xfId="0" applyNumberFormat="1" applyFont="1" applyBorder="1" applyAlignment="1">
      <alignment horizontal="right" vertical="top"/>
    </xf>
    <xf numFmtId="169" fontId="16" fillId="0" borderId="1" xfId="0" applyNumberFormat="1" applyFont="1" applyBorder="1" applyAlignment="1">
      <alignment horizontal="right" vertical="top"/>
    </xf>
    <xf numFmtId="0" fontId="16" fillId="4" borderId="68" xfId="0" applyFont="1" applyFill="1" applyBorder="1"/>
    <xf numFmtId="0" fontId="16" fillId="4" borderId="69" xfId="0" applyFont="1" applyFill="1" applyBorder="1"/>
    <xf numFmtId="0" fontId="16" fillId="4" borderId="70" xfId="0" applyFont="1" applyFill="1" applyBorder="1"/>
    <xf numFmtId="169" fontId="0" fillId="0" borderId="0" xfId="0" applyNumberFormat="1" applyAlignment="1">
      <alignment horizontal="right" vertical="top"/>
    </xf>
    <xf numFmtId="0" fontId="39" fillId="71" borderId="60" xfId="0" applyFont="1" applyFill="1" applyBorder="1"/>
    <xf numFmtId="0" fontId="39" fillId="71" borderId="61" xfId="0" applyFont="1" applyFill="1" applyBorder="1"/>
    <xf numFmtId="0" fontId="6" fillId="72" borderId="71" xfId="0" applyFont="1" applyFill="1" applyBorder="1" applyAlignment="1">
      <alignment horizontal="left" vertical="top"/>
    </xf>
    <xf numFmtId="169" fontId="0" fillId="0" borderId="1" xfId="0" applyNumberFormat="1" applyBorder="1" applyAlignment="1">
      <alignment horizontal="right" vertical="top"/>
    </xf>
    <xf numFmtId="173" fontId="16" fillId="75" borderId="1" xfId="0" applyNumberFormat="1" applyFont="1" applyFill="1" applyBorder="1" applyAlignment="1">
      <alignment horizontal="right" vertical="top"/>
    </xf>
    <xf numFmtId="173" fontId="16" fillId="5" borderId="1" xfId="0" applyNumberFormat="1" applyFont="1" applyFill="1" applyBorder="1" applyAlignment="1">
      <alignment horizontal="right" vertical="top"/>
    </xf>
    <xf numFmtId="181" fontId="16" fillId="5" borderId="1" xfId="0" applyNumberFormat="1" applyFont="1" applyFill="1" applyBorder="1" applyAlignment="1">
      <alignment horizontal="right" vertical="top"/>
    </xf>
    <xf numFmtId="173" fontId="16" fillId="5" borderId="61" xfId="0" applyNumberFormat="1" applyFont="1" applyFill="1" applyBorder="1" applyAlignment="1">
      <alignment horizontal="right" vertical="top"/>
    </xf>
    <xf numFmtId="181" fontId="16" fillId="5" borderId="61" xfId="0" applyNumberFormat="1" applyFont="1" applyFill="1" applyBorder="1" applyAlignment="1">
      <alignment horizontal="right" vertical="top"/>
    </xf>
    <xf numFmtId="181" fontId="16" fillId="4" borderId="61" xfId="0" applyNumberFormat="1" applyFont="1" applyFill="1" applyBorder="1" applyAlignment="1">
      <alignment horizontal="right" vertical="top"/>
    </xf>
    <xf numFmtId="179" fontId="16" fillId="4" borderId="61" xfId="0" applyNumberFormat="1" applyFont="1" applyFill="1" applyBorder="1" applyAlignment="1">
      <alignment horizontal="right" vertical="top"/>
    </xf>
    <xf numFmtId="181" fontId="0" fillId="0" borderId="0" xfId="0" applyNumberFormat="1" applyAlignment="1">
      <alignment horizontal="right" vertical="top"/>
    </xf>
    <xf numFmtId="0" fontId="0" fillId="0" borderId="0" xfId="0" applyAlignment="1">
      <alignment horizontal="left" vertical="center"/>
    </xf>
    <xf numFmtId="0" fontId="39" fillId="71" borderId="62" xfId="0" applyFont="1" applyFill="1" applyBorder="1"/>
    <xf numFmtId="180" fontId="16" fillId="0" borderId="61" xfId="0" applyNumberFormat="1" applyFont="1" applyBorder="1" applyAlignment="1">
      <alignment horizontal="right" vertical="top"/>
    </xf>
    <xf numFmtId="0" fontId="6" fillId="4" borderId="60" xfId="0" applyFont="1" applyFill="1" applyBorder="1" applyAlignment="1">
      <alignment vertical="top" wrapText="1"/>
    </xf>
    <xf numFmtId="0" fontId="45" fillId="0" borderId="0" xfId="1" applyFont="1"/>
    <xf numFmtId="3" fontId="0" fillId="0" borderId="1" xfId="0" applyNumberFormat="1" applyBorder="1" applyAlignment="1">
      <alignment horizontal="right" vertical="top" wrapText="1"/>
    </xf>
    <xf numFmtId="0" fontId="0" fillId="0" borderId="0" xfId="0" applyAlignment="1">
      <alignment horizontal="right" vertical="top" wrapText="1"/>
    </xf>
    <xf numFmtId="184" fontId="0" fillId="0" borderId="1" xfId="3" applyNumberFormat="1" applyFont="1" applyBorder="1" applyAlignment="1">
      <alignment horizontal="right" vertical="top" wrapText="1"/>
    </xf>
    <xf numFmtId="184" fontId="0" fillId="0" borderId="0" xfId="3" applyNumberFormat="1" applyFont="1" applyBorder="1" applyAlignment="1">
      <alignment horizontal="right" vertical="top" wrapText="1"/>
    </xf>
    <xf numFmtId="3" fontId="0" fillId="0" borderId="0" xfId="0" applyNumberFormat="1" applyAlignment="1">
      <alignment horizontal="right" vertical="top" wrapText="1"/>
    </xf>
    <xf numFmtId="0" fontId="0" fillId="16" borderId="1" xfId="0" applyFill="1" applyBorder="1" applyAlignment="1">
      <alignment horizontal="left" vertical="top" wrapText="1"/>
    </xf>
    <xf numFmtId="0" fontId="0" fillId="16" borderId="1" xfId="0" applyFill="1" applyBorder="1" applyAlignment="1">
      <alignment horizontal="left" vertical="top"/>
    </xf>
    <xf numFmtId="183" fontId="0" fillId="0" borderId="1" xfId="0" applyNumberFormat="1" applyBorder="1" applyAlignment="1">
      <alignment horizontal="right" vertical="top"/>
    </xf>
    <xf numFmtId="183" fontId="0" fillId="0" borderId="0" xfId="0" applyNumberFormat="1" applyAlignment="1">
      <alignment horizontal="right" vertical="top"/>
    </xf>
    <xf numFmtId="0" fontId="0" fillId="0" borderId="1" xfId="0" applyBorder="1" applyAlignment="1">
      <alignment horizontal="right" vertical="top"/>
    </xf>
    <xf numFmtId="0" fontId="0" fillId="0" borderId="0" xfId="0" applyAlignment="1">
      <alignment horizontal="right" vertical="top"/>
    </xf>
    <xf numFmtId="0" fontId="0" fillId="0" borderId="1" xfId="0" applyBorder="1" applyAlignment="1">
      <alignment horizontal="left" vertical="top"/>
    </xf>
    <xf numFmtId="185" fontId="0" fillId="0" borderId="1" xfId="0" applyNumberFormat="1" applyBorder="1" applyAlignment="1">
      <alignment horizontal="right" vertical="top"/>
    </xf>
    <xf numFmtId="185" fontId="0" fillId="0" borderId="0" xfId="0" applyNumberFormat="1" applyAlignment="1">
      <alignment horizontal="right" vertical="top"/>
    </xf>
    <xf numFmtId="0" fontId="16" fillId="0" borderId="1" xfId="0" applyFont="1" applyBorder="1"/>
    <xf numFmtId="0" fontId="13" fillId="16" borderId="1" xfId="0" applyFont="1" applyFill="1" applyBorder="1"/>
    <xf numFmtId="0" fontId="16" fillId="16" borderId="1" xfId="0" applyFont="1" applyFill="1" applyBorder="1" applyAlignment="1">
      <alignment horizontal="left" vertical="top"/>
    </xf>
    <xf numFmtId="0" fontId="16" fillId="16" borderId="1" xfId="0" applyFont="1" applyFill="1" applyBorder="1" applyAlignment="1">
      <alignment horizontal="left" vertical="top" wrapText="1"/>
    </xf>
    <xf numFmtId="173" fontId="16" fillId="0" borderId="71" xfId="0" applyNumberFormat="1" applyFont="1" applyBorder="1" applyAlignment="1">
      <alignment horizontal="right" vertical="top"/>
    </xf>
    <xf numFmtId="173" fontId="16" fillId="0" borderId="75" xfId="0" applyNumberFormat="1" applyFont="1" applyBorder="1" applyAlignment="1">
      <alignment horizontal="right" vertical="top"/>
    </xf>
    <xf numFmtId="169" fontId="16" fillId="0" borderId="62" xfId="0" applyNumberFormat="1" applyFont="1" applyBorder="1" applyAlignment="1">
      <alignment horizontal="right" vertical="top"/>
    </xf>
    <xf numFmtId="0" fontId="0" fillId="5" borderId="61" xfId="0" applyFill="1" applyBorder="1" applyAlignment="1">
      <alignment horizontal="left" vertical="top"/>
    </xf>
    <xf numFmtId="173" fontId="16" fillId="75" borderId="76" xfId="0" applyNumberFormat="1" applyFont="1" applyFill="1" applyBorder="1" applyAlignment="1">
      <alignment horizontal="right" vertical="top"/>
    </xf>
    <xf numFmtId="173" fontId="16" fillId="0" borderId="76" xfId="0" applyNumberFormat="1" applyFont="1" applyBorder="1" applyAlignment="1">
      <alignment horizontal="right" vertical="top"/>
    </xf>
    <xf numFmtId="181" fontId="16" fillId="0" borderId="76" xfId="0" applyNumberFormat="1" applyFont="1" applyBorder="1" applyAlignment="1">
      <alignment horizontal="right" vertical="top"/>
    </xf>
    <xf numFmtId="0" fontId="0" fillId="0" borderId="0" xfId="0" applyAlignment="1">
      <alignment vertical="top"/>
    </xf>
    <xf numFmtId="173" fontId="0" fillId="0" borderId="0" xfId="0" applyNumberFormat="1"/>
    <xf numFmtId="186" fontId="16" fillId="0" borderId="1" xfId="0" applyNumberFormat="1" applyFont="1" applyBorder="1" applyAlignment="1">
      <alignment vertical="top"/>
    </xf>
    <xf numFmtId="0" fontId="16" fillId="5" borderId="1" xfId="0" applyFont="1" applyFill="1" applyBorder="1"/>
    <xf numFmtId="186" fontId="16" fillId="5" borderId="1" xfId="0" applyNumberFormat="1" applyFont="1" applyFill="1" applyBorder="1" applyAlignment="1">
      <alignment vertical="top"/>
    </xf>
    <xf numFmtId="0" fontId="76" fillId="71" borderId="61" xfId="0" applyFont="1" applyFill="1" applyBorder="1"/>
    <xf numFmtId="0" fontId="62" fillId="71" borderId="0" xfId="0" applyFont="1" applyFill="1" applyAlignment="1">
      <alignment vertical="top"/>
    </xf>
    <xf numFmtId="0" fontId="13" fillId="72" borderId="63" xfId="0" applyFont="1" applyFill="1" applyBorder="1" applyAlignment="1">
      <alignment horizontal="left" vertical="top"/>
    </xf>
    <xf numFmtId="0" fontId="16" fillId="0" borderId="1" xfId="0" applyFont="1" applyBorder="1" applyAlignment="1">
      <alignment vertical="top"/>
    </xf>
    <xf numFmtId="187" fontId="16" fillId="0" borderId="1" xfId="0" applyNumberFormat="1" applyFont="1" applyBorder="1" applyAlignment="1">
      <alignment vertical="top"/>
    </xf>
    <xf numFmtId="188" fontId="16" fillId="0" borderId="1" xfId="0" applyNumberFormat="1" applyFont="1" applyBorder="1" applyAlignment="1">
      <alignment vertical="top"/>
    </xf>
    <xf numFmtId="0" fontId="2" fillId="0" borderId="0" xfId="1" applyBorder="1" applyAlignment="1">
      <alignment vertical="center"/>
    </xf>
    <xf numFmtId="0" fontId="93" fillId="0" borderId="0" xfId="0" applyFont="1"/>
    <xf numFmtId="0" fontId="8" fillId="4" borderId="7" xfId="0" applyFont="1" applyFill="1" applyBorder="1" applyAlignment="1">
      <alignment vertical="center" wrapText="1"/>
    </xf>
    <xf numFmtId="0" fontId="8" fillId="5" borderId="0" xfId="0" applyFont="1" applyFill="1" applyAlignment="1">
      <alignment vertical="center"/>
    </xf>
    <xf numFmtId="166" fontId="23" fillId="70" borderId="1" xfId="0" applyNumberFormat="1" applyFont="1" applyFill="1" applyBorder="1" applyAlignment="1">
      <alignment horizontal="center" vertical="center" wrapText="1"/>
    </xf>
    <xf numFmtId="0" fontId="95" fillId="0" borderId="0" xfId="0" applyFont="1"/>
    <xf numFmtId="0" fontId="1" fillId="0" borderId="0" xfId="0" applyFont="1" applyAlignment="1">
      <alignment wrapText="1"/>
    </xf>
    <xf numFmtId="169" fontId="28" fillId="4" borderId="5" xfId="0" applyNumberFormat="1" applyFont="1" applyFill="1" applyBorder="1" applyAlignment="1">
      <alignment horizontal="center" vertical="center" wrapText="1"/>
    </xf>
    <xf numFmtId="0" fontId="98" fillId="0" borderId="0" xfId="0" applyFont="1" applyAlignment="1">
      <alignment wrapText="1"/>
    </xf>
    <xf numFmtId="0" fontId="96" fillId="0" borderId="0" xfId="0" applyFont="1"/>
    <xf numFmtId="0" fontId="23" fillId="4" borderId="1" xfId="66" applyFont="1" applyFill="1" applyBorder="1" applyAlignment="1">
      <alignment horizontal="center" vertical="center" wrapText="1"/>
    </xf>
    <xf numFmtId="0" fontId="1" fillId="5" borderId="0" xfId="0" applyFont="1" applyFill="1"/>
    <xf numFmtId="0" fontId="1" fillId="5" borderId="0" xfId="0" applyFont="1" applyFill="1" applyAlignment="1">
      <alignment horizontal="left"/>
    </xf>
    <xf numFmtId="0" fontId="25" fillId="4" borderId="1" xfId="66" applyFont="1" applyFill="1" applyBorder="1" applyAlignment="1">
      <alignment horizontal="center" vertical="center" wrapText="1"/>
    </xf>
    <xf numFmtId="0" fontId="1" fillId="0" borderId="0" xfId="0" applyFont="1" applyAlignment="1">
      <alignment horizontal="left"/>
    </xf>
    <xf numFmtId="165" fontId="25" fillId="4" borderId="1" xfId="11" applyFont="1" applyFill="1" applyBorder="1" applyAlignment="1" applyProtection="1">
      <alignment horizontal="center" vertical="center" wrapText="1"/>
    </xf>
    <xf numFmtId="0" fontId="1" fillId="0" borderId="1" xfId="0" applyFont="1" applyBorder="1"/>
    <xf numFmtId="0" fontId="95" fillId="0" borderId="0" xfId="1" applyFont="1" applyAlignment="1" applyProtection="1">
      <alignment wrapText="1"/>
    </xf>
    <xf numFmtId="0" fontId="8" fillId="4" borderId="1" xfId="0" applyFont="1" applyFill="1" applyBorder="1" applyAlignment="1">
      <alignment wrapText="1"/>
    </xf>
    <xf numFmtId="0" fontId="8" fillId="4" borderId="11" xfId="0" applyFont="1" applyFill="1" applyBorder="1" applyAlignment="1">
      <alignment wrapText="1"/>
    </xf>
    <xf numFmtId="0" fontId="8" fillId="4" borderId="5" xfId="0" applyFont="1" applyFill="1" applyBorder="1" applyAlignment="1">
      <alignment wrapText="1"/>
    </xf>
    <xf numFmtId="172" fontId="13" fillId="7" borderId="1" xfId="0" applyNumberFormat="1" applyFont="1" applyFill="1" applyBorder="1" applyAlignment="1">
      <alignment horizontal="center" vertical="center" wrapText="1"/>
    </xf>
    <xf numFmtId="172" fontId="6" fillId="7" borderId="1" xfId="0" applyNumberFormat="1" applyFont="1" applyFill="1" applyBorder="1" applyAlignment="1">
      <alignment horizontal="center" vertical="center" wrapText="1"/>
    </xf>
    <xf numFmtId="0" fontId="123" fillId="0" borderId="34" xfId="0" applyFont="1" applyBorder="1" applyAlignment="1">
      <alignment horizontal="center" vertical="center" wrapText="1"/>
    </xf>
    <xf numFmtId="0" fontId="124" fillId="79" borderId="45" xfId="0" applyFont="1" applyFill="1" applyBorder="1" applyAlignment="1">
      <alignment horizontal="center" vertical="center" wrapText="1"/>
    </xf>
    <xf numFmtId="0" fontId="125" fillId="0" borderId="37" xfId="0" applyFont="1" applyBorder="1" applyAlignment="1">
      <alignment vertical="center" wrapText="1"/>
    </xf>
    <xf numFmtId="0" fontId="125" fillId="0" borderId="34" xfId="0" applyFont="1" applyBorder="1" applyAlignment="1">
      <alignment horizontal="center" vertical="center" wrapText="1"/>
    </xf>
    <xf numFmtId="0" fontId="21" fillId="0" borderId="0" xfId="0" applyFont="1" applyAlignment="1">
      <alignment vertical="center"/>
    </xf>
    <xf numFmtId="0" fontId="126" fillId="80" borderId="49" xfId="0" applyFont="1" applyFill="1" applyBorder="1" applyAlignment="1">
      <alignment horizontal="center" vertical="center" wrapText="1"/>
    </xf>
    <xf numFmtId="0" fontId="126" fillId="80" borderId="34" xfId="0" applyFont="1" applyFill="1" applyBorder="1" applyAlignment="1">
      <alignment horizontal="center" vertical="center" wrapText="1"/>
    </xf>
    <xf numFmtId="0" fontId="125" fillId="0" borderId="0" xfId="0" applyFont="1" applyAlignment="1">
      <alignment horizontal="center" vertical="center" wrapText="1"/>
    </xf>
    <xf numFmtId="0" fontId="123" fillId="0" borderId="94" xfId="0" applyFont="1" applyBorder="1" applyAlignment="1">
      <alignment vertical="center" wrapText="1"/>
    </xf>
    <xf numFmtId="0" fontId="123" fillId="0" borderId="93" xfId="0" applyFont="1" applyBorder="1" applyAlignment="1">
      <alignment horizontal="center" vertical="center" wrapText="1"/>
    </xf>
    <xf numFmtId="0" fontId="124" fillId="79" borderId="14" xfId="0" applyFont="1" applyFill="1" applyBorder="1" applyAlignment="1">
      <alignment vertical="center" wrapText="1"/>
    </xf>
    <xf numFmtId="3" fontId="129" fillId="0" borderId="34" xfId="0" applyNumberFormat="1" applyFont="1" applyBorder="1" applyAlignment="1">
      <alignment horizontal="center" vertical="center" wrapText="1"/>
    </xf>
    <xf numFmtId="0" fontId="130" fillId="0" borderId="37" xfId="0" applyFont="1" applyBorder="1" applyAlignment="1">
      <alignment vertical="center" wrapText="1"/>
    </xf>
    <xf numFmtId="3" fontId="125" fillId="0" borderId="34" xfId="0" applyNumberFormat="1" applyFont="1" applyBorder="1" applyAlignment="1">
      <alignment horizontal="center" vertical="center" wrapText="1"/>
    </xf>
    <xf numFmtId="0" fontId="123" fillId="0" borderId="37" xfId="0" applyFont="1" applyBorder="1" applyAlignment="1">
      <alignment horizontal="left" vertical="center" wrapText="1"/>
    </xf>
    <xf numFmtId="0" fontId="0" fillId="0" borderId="0" xfId="0" applyAlignment="1">
      <alignment wrapText="1"/>
    </xf>
    <xf numFmtId="0" fontId="123" fillId="0" borderId="0" xfId="0" applyFont="1" applyAlignment="1">
      <alignment horizontal="left" vertical="center" wrapText="1"/>
    </xf>
    <xf numFmtId="0" fontId="23" fillId="4" borderId="2" xfId="66" applyFont="1" applyFill="1" applyBorder="1" applyAlignment="1">
      <alignment horizontal="center" vertical="center" wrapText="1"/>
    </xf>
    <xf numFmtId="0" fontId="23" fillId="8" borderId="2" xfId="66" applyFont="1" applyFill="1" applyBorder="1" applyAlignment="1">
      <alignment horizontal="center" vertical="center"/>
    </xf>
    <xf numFmtId="0" fontId="23" fillId="73" borderId="2" xfId="10" applyFont="1" applyFill="1" applyBorder="1" applyAlignment="1">
      <alignment horizontal="center" vertical="center" wrapText="1"/>
    </xf>
    <xf numFmtId="0" fontId="8" fillId="8" borderId="2" xfId="0" applyFont="1" applyFill="1" applyBorder="1"/>
    <xf numFmtId="9" fontId="132" fillId="5" borderId="0" xfId="6" applyFont="1" applyFill="1" applyAlignment="1" applyProtection="1">
      <alignment wrapText="1"/>
    </xf>
    <xf numFmtId="167" fontId="132" fillId="5" borderId="0" xfId="77" applyNumberFormat="1" applyFont="1" applyFill="1" applyAlignment="1" applyProtection="1">
      <alignment wrapText="1"/>
    </xf>
    <xf numFmtId="0" fontId="132" fillId="5" borderId="0" xfId="0" applyFont="1" applyFill="1" applyAlignment="1">
      <alignment wrapText="1"/>
    </xf>
    <xf numFmtId="0" fontId="132" fillId="5" borderId="0" xfId="0" applyFont="1" applyFill="1" applyAlignment="1">
      <alignment horizontal="center" vertical="center" wrapText="1"/>
    </xf>
    <xf numFmtId="0" fontId="132" fillId="5" borderId="0" xfId="0" applyFont="1" applyFill="1" applyAlignment="1">
      <alignment horizontal="left" wrapText="1" indent="1"/>
    </xf>
    <xf numFmtId="167" fontId="132" fillId="5" borderId="0" xfId="77" applyNumberFormat="1" applyFont="1" applyFill="1" applyBorder="1" applyAlignment="1" applyProtection="1">
      <alignment wrapText="1"/>
    </xf>
    <xf numFmtId="9" fontId="132" fillId="5" borderId="0" xfId="6" applyFont="1" applyFill="1" applyBorder="1" applyAlignment="1" applyProtection="1">
      <alignment wrapText="1"/>
    </xf>
    <xf numFmtId="0" fontId="132" fillId="85" borderId="108" xfId="0" applyFont="1" applyFill="1" applyBorder="1" applyAlignment="1">
      <alignment horizontal="left" vertical="center" wrapText="1" indent="1"/>
    </xf>
    <xf numFmtId="0" fontId="143" fillId="5" borderId="0" xfId="0" applyFont="1" applyFill="1"/>
    <xf numFmtId="0" fontId="135" fillId="87" borderId="110" xfId="0" applyFont="1" applyFill="1" applyBorder="1" applyAlignment="1">
      <alignment horizontal="center" vertical="center" wrapText="1"/>
    </xf>
    <xf numFmtId="0" fontId="132" fillId="87" borderId="111" xfId="0" applyFont="1" applyFill="1" applyBorder="1" applyAlignment="1">
      <alignment horizontal="left" wrapText="1" indent="1"/>
    </xf>
    <xf numFmtId="0" fontId="135" fillId="5" borderId="0" xfId="0" applyFont="1" applyFill="1"/>
    <xf numFmtId="1" fontId="132" fillId="59" borderId="116" xfId="77" applyNumberFormat="1" applyFont="1" applyFill="1" applyBorder="1" applyAlignment="1" applyProtection="1">
      <alignment vertical="center" wrapText="1"/>
    </xf>
    <xf numFmtId="1" fontId="132" fillId="59" borderId="117" xfId="77" applyNumberFormat="1" applyFont="1" applyFill="1" applyBorder="1" applyAlignment="1" applyProtection="1">
      <alignment vertical="center" wrapText="1"/>
    </xf>
    <xf numFmtId="1" fontId="132" fillId="59" borderId="102" xfId="77" applyNumberFormat="1" applyFont="1" applyFill="1" applyBorder="1" applyAlignment="1" applyProtection="1">
      <alignment vertical="center" wrapText="1"/>
    </xf>
    <xf numFmtId="1" fontId="135" fillId="5" borderId="120" xfId="6" applyNumberFormat="1" applyFont="1" applyFill="1" applyBorder="1" applyAlignment="1" applyProtection="1">
      <alignment vertical="center" wrapText="1"/>
    </xf>
    <xf numFmtId="0" fontId="145" fillId="5" borderId="90" xfId="0" applyFont="1" applyFill="1" applyBorder="1" applyAlignment="1">
      <alignment horizontal="center" vertical="center" wrapText="1"/>
    </xf>
    <xf numFmtId="0" fontId="145" fillId="5" borderId="0" xfId="0" applyFont="1" applyFill="1" applyAlignment="1">
      <alignment horizontal="center" vertical="center" wrapText="1"/>
    </xf>
    <xf numFmtId="2" fontId="135" fillId="5" borderId="0" xfId="6" applyNumberFormat="1" applyFont="1" applyFill="1" applyBorder="1" applyAlignment="1" applyProtection="1">
      <alignment vertical="center" wrapText="1"/>
    </xf>
    <xf numFmtId="9" fontId="135" fillId="5" borderId="0" xfId="6" applyFont="1" applyFill="1" applyBorder="1" applyAlignment="1" applyProtection="1">
      <alignment vertical="center" wrapText="1"/>
    </xf>
    <xf numFmtId="0" fontId="64" fillId="5" borderId="0" xfId="0" applyFont="1" applyFill="1" applyAlignment="1">
      <alignment wrapText="1"/>
    </xf>
    <xf numFmtId="0" fontId="64" fillId="0" borderId="0" xfId="0" applyFont="1" applyAlignment="1">
      <alignment wrapText="1"/>
    </xf>
    <xf numFmtId="2" fontId="132" fillId="0" borderId="121" xfId="77" applyNumberFormat="1" applyFont="1" applyFill="1" applyBorder="1" applyAlignment="1" applyProtection="1">
      <alignment vertical="center" wrapText="1"/>
    </xf>
    <xf numFmtId="0" fontId="135" fillId="5" borderId="0" xfId="6" applyNumberFormat="1" applyFont="1" applyFill="1" applyBorder="1" applyAlignment="1" applyProtection="1">
      <alignment vertical="center" wrapText="1"/>
    </xf>
    <xf numFmtId="2" fontId="132" fillId="5" borderId="122" xfId="77" applyNumberFormat="1" applyFont="1" applyFill="1" applyBorder="1" applyAlignment="1" applyProtection="1">
      <alignment vertical="center" wrapText="1"/>
    </xf>
    <xf numFmtId="0" fontId="145" fillId="5" borderId="90" xfId="0" applyFont="1" applyFill="1" applyBorder="1" applyAlignment="1">
      <alignment horizontal="left" vertical="center" wrapText="1"/>
    </xf>
    <xf numFmtId="0" fontId="145" fillId="5" borderId="0" xfId="0" applyFont="1" applyFill="1" applyAlignment="1">
      <alignment horizontal="left" vertical="center" wrapText="1"/>
    </xf>
    <xf numFmtId="167" fontId="135" fillId="5" borderId="0" xfId="77" applyNumberFormat="1" applyFont="1" applyFill="1" applyBorder="1" applyAlignment="1" applyProtection="1">
      <alignment vertical="center" wrapText="1"/>
    </xf>
    <xf numFmtId="167" fontId="132" fillId="0" borderId="0" xfId="77" applyNumberFormat="1" applyFont="1" applyBorder="1" applyAlignment="1" applyProtection="1">
      <alignment horizontal="center" vertical="center" wrapText="1"/>
    </xf>
    <xf numFmtId="9" fontId="132" fillId="5" borderId="0" xfId="6" applyFont="1" applyFill="1" applyBorder="1" applyAlignment="1" applyProtection="1">
      <alignment horizontal="center" vertical="center" wrapText="1"/>
    </xf>
    <xf numFmtId="167" fontId="132" fillId="59" borderId="123" xfId="77" applyNumberFormat="1" applyFont="1" applyFill="1" applyBorder="1" applyAlignment="1" applyProtection="1">
      <alignment vertical="center" wrapText="1"/>
    </xf>
    <xf numFmtId="0" fontId="135" fillId="5" borderId="46" xfId="6" applyNumberFormat="1" applyFont="1" applyFill="1" applyBorder="1" applyAlignment="1" applyProtection="1">
      <alignment vertical="center" wrapText="1"/>
    </xf>
    <xf numFmtId="0" fontId="135" fillId="5" borderId="34" xfId="6" applyNumberFormat="1" applyFont="1" applyFill="1" applyBorder="1" applyAlignment="1" applyProtection="1">
      <alignment vertical="center" wrapText="1"/>
    </xf>
    <xf numFmtId="0" fontId="132" fillId="5" borderId="0" xfId="0" applyFont="1" applyFill="1" applyAlignment="1">
      <alignment horizontal="left" wrapText="1"/>
    </xf>
    <xf numFmtId="0" fontId="64" fillId="5" borderId="0" xfId="0" applyFont="1" applyFill="1" applyAlignment="1">
      <alignment horizontal="left" wrapText="1"/>
    </xf>
    <xf numFmtId="0" fontId="64" fillId="0" borderId="0" xfId="0" applyFont="1" applyAlignment="1">
      <alignment horizontal="left" wrapText="1"/>
    </xf>
    <xf numFmtId="0" fontId="132" fillId="0" borderId="125" xfId="0" applyFont="1" applyBorder="1" applyAlignment="1">
      <alignment vertical="top" wrapText="1"/>
    </xf>
    <xf numFmtId="0" fontId="132" fillId="0" borderId="126" xfId="0" applyFont="1" applyBorder="1" applyAlignment="1">
      <alignment vertical="top" wrapText="1"/>
    </xf>
    <xf numFmtId="167" fontId="132" fillId="5" borderId="0" xfId="77" applyNumberFormat="1" applyFont="1" applyFill="1" applyAlignment="1">
      <alignment wrapText="1"/>
    </xf>
    <xf numFmtId="9" fontId="132" fillId="5" borderId="0" xfId="6" applyFont="1" applyFill="1" applyAlignment="1">
      <alignment wrapText="1"/>
    </xf>
    <xf numFmtId="0" fontId="132" fillId="0" borderId="0" xfId="0" applyFont="1" applyAlignment="1">
      <alignment wrapText="1"/>
    </xf>
    <xf numFmtId="167" fontId="132" fillId="0" borderId="0" xfId="77" applyNumberFormat="1" applyFont="1" applyAlignment="1">
      <alignment wrapText="1"/>
    </xf>
    <xf numFmtId="0" fontId="135" fillId="16" borderId="127" xfId="0" applyFont="1" applyFill="1" applyBorder="1" applyAlignment="1">
      <alignment horizontal="center" vertical="center"/>
    </xf>
    <xf numFmtId="0" fontId="135" fillId="16" borderId="128" xfId="0" applyFont="1" applyFill="1" applyBorder="1" applyAlignment="1">
      <alignment horizontal="center" vertical="center"/>
    </xf>
    <xf numFmtId="0" fontId="135" fillId="16" borderId="129" xfId="0" applyFont="1" applyFill="1" applyBorder="1" applyAlignment="1">
      <alignment horizontal="center" vertical="center"/>
    </xf>
    <xf numFmtId="0" fontId="132" fillId="5" borderId="0" xfId="0" applyFont="1" applyFill="1"/>
    <xf numFmtId="0" fontId="132" fillId="5" borderId="0" xfId="0" applyFont="1" applyFill="1" applyAlignment="1">
      <alignment vertical="center"/>
    </xf>
    <xf numFmtId="0" fontId="135" fillId="16" borderId="127" xfId="0" applyFont="1" applyFill="1" applyBorder="1" applyAlignment="1">
      <alignment horizontal="center" vertical="top"/>
    </xf>
    <xf numFmtId="0" fontId="135" fillId="16" borderId="128" xfId="0" applyFont="1" applyFill="1" applyBorder="1" applyAlignment="1">
      <alignment horizontal="center" vertical="top"/>
    </xf>
    <xf numFmtId="9" fontId="135" fillId="5" borderId="0" xfId="6" applyFont="1" applyFill="1" applyAlignment="1" applyProtection="1"/>
    <xf numFmtId="167" fontId="132" fillId="0" borderId="0" xfId="77" applyNumberFormat="1" applyFont="1" applyBorder="1" applyAlignment="1" applyProtection="1">
      <alignment wrapText="1"/>
    </xf>
    <xf numFmtId="0" fontId="135" fillId="16" borderId="130" xfId="0" applyFont="1" applyFill="1" applyBorder="1" applyAlignment="1">
      <alignment horizontal="center" vertical="top"/>
    </xf>
    <xf numFmtId="0" fontId="135" fillId="16" borderId="129" xfId="0" applyFont="1" applyFill="1" applyBorder="1" applyAlignment="1">
      <alignment horizontal="center" vertical="top"/>
    </xf>
    <xf numFmtId="0" fontId="132" fillId="5" borderId="16" xfId="0" applyFont="1" applyFill="1" applyBorder="1" applyAlignment="1">
      <alignment horizontal="center" vertical="center" wrapText="1"/>
    </xf>
    <xf numFmtId="167" fontId="132" fillId="5" borderId="0" xfId="77" applyNumberFormat="1" applyFont="1" applyFill="1" applyBorder="1" applyAlignment="1" applyProtection="1">
      <alignment horizontal="center" vertical="center" wrapText="1"/>
    </xf>
    <xf numFmtId="0" fontId="156" fillId="5" borderId="132" xfId="0" applyFont="1" applyFill="1" applyBorder="1" applyAlignment="1">
      <alignment horizontal="left" vertical="center" wrapText="1"/>
    </xf>
    <xf numFmtId="0" fontId="156" fillId="5" borderId="74" xfId="0" applyFont="1" applyFill="1" applyBorder="1" applyAlignment="1">
      <alignment horizontal="left" vertical="center" wrapText="1"/>
    </xf>
    <xf numFmtId="9" fontId="135" fillId="5" borderId="33" xfId="6" applyFont="1" applyFill="1" applyBorder="1" applyAlignment="1" applyProtection="1">
      <alignment vertical="center" wrapText="1"/>
    </xf>
    <xf numFmtId="0" fontId="132" fillId="5" borderId="0" xfId="0" applyFont="1" applyFill="1" applyAlignment="1">
      <alignment horizontal="left" vertical="center" wrapText="1"/>
    </xf>
    <xf numFmtId="167" fontId="132" fillId="5" borderId="0" xfId="77" applyNumberFormat="1" applyFont="1" applyFill="1" applyBorder="1" applyAlignment="1" applyProtection="1">
      <alignment vertical="center" wrapText="1"/>
    </xf>
    <xf numFmtId="9" fontId="132" fillId="5" borderId="0" xfId="6" applyFont="1" applyFill="1" applyBorder="1" applyAlignment="1" applyProtection="1">
      <alignment vertical="center" wrapText="1"/>
    </xf>
    <xf numFmtId="9" fontId="132" fillId="5" borderId="33" xfId="6" applyFont="1" applyFill="1" applyBorder="1" applyAlignment="1" applyProtection="1">
      <alignment vertical="center" wrapText="1"/>
    </xf>
    <xf numFmtId="0" fontId="156" fillId="5" borderId="16" xfId="0" applyFont="1" applyFill="1" applyBorder="1" applyAlignment="1">
      <alignment horizontal="left" wrapText="1"/>
    </xf>
    <xf numFmtId="0" fontId="156" fillId="5" borderId="0" xfId="0" applyFont="1" applyFill="1" applyAlignment="1">
      <alignment horizontal="left" wrapText="1"/>
    </xf>
    <xf numFmtId="2" fontId="132" fillId="5" borderId="0" xfId="6" applyNumberFormat="1" applyFont="1" applyFill="1" applyBorder="1" applyAlignment="1" applyProtection="1">
      <alignment wrapText="1"/>
    </xf>
    <xf numFmtId="9" fontId="132" fillId="5" borderId="33" xfId="6" applyFont="1" applyFill="1" applyBorder="1" applyAlignment="1" applyProtection="1">
      <alignment wrapText="1"/>
    </xf>
    <xf numFmtId="0" fontId="135" fillId="5" borderId="16" xfId="0" applyFont="1" applyFill="1" applyBorder="1" applyAlignment="1">
      <alignment horizontal="center" wrapText="1"/>
    </xf>
    <xf numFmtId="0" fontId="135" fillId="5" borderId="0" xfId="0" applyFont="1" applyFill="1" applyAlignment="1">
      <alignment horizontal="center" wrapText="1"/>
    </xf>
    <xf numFmtId="0" fontId="132" fillId="5" borderId="135" xfId="0" applyFont="1" applyFill="1" applyBorder="1" applyAlignment="1">
      <alignment horizontal="left" wrapText="1" indent="1"/>
    </xf>
    <xf numFmtId="0" fontId="132" fillId="5" borderId="137" xfId="0" applyFont="1" applyFill="1" applyBorder="1" applyAlignment="1">
      <alignment horizontal="left" wrapText="1" indent="1"/>
    </xf>
    <xf numFmtId="0" fontId="164" fillId="5" borderId="0" xfId="0" applyFont="1" applyFill="1" applyAlignment="1">
      <alignment horizontal="right"/>
    </xf>
    <xf numFmtId="0" fontId="1" fillId="4" borderId="39" xfId="0" applyFont="1" applyFill="1" applyBorder="1" applyAlignment="1">
      <alignment horizontal="center" vertical="center" wrapText="1"/>
    </xf>
    <xf numFmtId="165" fontId="118" fillId="18" borderId="1" xfId="3" applyFont="1" applyFill="1" applyBorder="1" applyAlignment="1" applyProtection="1">
      <alignment horizontal="left"/>
      <protection locked="0"/>
    </xf>
    <xf numFmtId="0" fontId="118" fillId="0" borderId="0" xfId="0" applyFont="1"/>
    <xf numFmtId="0" fontId="141" fillId="5" borderId="0" xfId="0" applyFont="1" applyFill="1" applyAlignment="1">
      <alignment vertical="center" wrapText="1"/>
    </xf>
    <xf numFmtId="167" fontId="13" fillId="0" borderId="1" xfId="3" quotePrefix="1" applyNumberFormat="1" applyFont="1" applyFill="1" applyBorder="1" applyAlignment="1">
      <alignment horizontal="center"/>
    </xf>
    <xf numFmtId="0" fontId="23" fillId="63" borderId="55" xfId="0" applyFont="1" applyFill="1" applyBorder="1" applyAlignment="1">
      <alignment horizontal="center" vertical="center" wrapText="1"/>
    </xf>
    <xf numFmtId="0" fontId="23" fillId="63" borderId="22" xfId="0" applyFont="1" applyFill="1" applyBorder="1" applyAlignment="1">
      <alignment horizontal="center" wrapText="1"/>
    </xf>
    <xf numFmtId="0" fontId="23" fillId="63" borderId="56" xfId="0" applyFont="1" applyFill="1" applyBorder="1" applyAlignment="1">
      <alignment horizontal="center" vertical="center" wrapText="1"/>
    </xf>
    <xf numFmtId="0" fontId="0" fillId="0" borderId="3" xfId="0" applyBorder="1" applyAlignment="1">
      <alignment horizontal="left" vertical="center" wrapText="1"/>
    </xf>
    <xf numFmtId="0" fontId="78" fillId="0" borderId="41" xfId="0" applyFont="1" applyBorder="1" applyAlignment="1">
      <alignment horizontal="left" vertical="center" wrapText="1"/>
    </xf>
    <xf numFmtId="0" fontId="73" fillId="0" borderId="41" xfId="0" applyFont="1" applyBorder="1" applyAlignment="1">
      <alignment horizontal="left" vertical="center" wrapText="1"/>
    </xf>
    <xf numFmtId="0" fontId="17" fillId="0" borderId="0" xfId="0" applyFont="1" applyAlignment="1">
      <alignment horizontal="left" vertical="center"/>
    </xf>
    <xf numFmtId="0" fontId="78" fillId="0" borderId="0" xfId="0" applyFont="1" applyAlignment="1">
      <alignment horizontal="left" vertical="center" wrapText="1"/>
    </xf>
    <xf numFmtId="0" fontId="73" fillId="0" borderId="0" xfId="0" applyFont="1" applyAlignment="1">
      <alignment horizontal="left" vertical="center" wrapText="1"/>
    </xf>
    <xf numFmtId="0" fontId="6" fillId="63" borderId="23" xfId="0" applyFont="1" applyFill="1" applyBorder="1" applyAlignment="1">
      <alignment horizontal="left" vertical="center" wrapText="1"/>
    </xf>
    <xf numFmtId="0" fontId="6" fillId="63" borderId="39" xfId="0" applyFont="1" applyFill="1" applyBorder="1" applyAlignment="1">
      <alignment horizontal="left" vertical="center" wrapText="1"/>
    </xf>
    <xf numFmtId="0" fontId="6" fillId="0" borderId="41" xfId="0" applyFont="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6" fillId="63" borderId="53" xfId="0" applyFont="1" applyFill="1" applyBorder="1" applyAlignment="1">
      <alignment horizontal="left" vertical="center" wrapText="1"/>
    </xf>
    <xf numFmtId="0" fontId="76" fillId="0" borderId="0" xfId="0" applyFont="1" applyAlignment="1">
      <alignment horizontal="left" vertical="center"/>
    </xf>
    <xf numFmtId="0" fontId="6" fillId="5" borderId="0" xfId="0" applyFont="1" applyFill="1" applyAlignment="1">
      <alignment horizontal="left" vertical="center" wrapText="1"/>
    </xf>
    <xf numFmtId="0" fontId="0" fillId="5" borderId="0" xfId="0" applyFill="1" applyAlignment="1">
      <alignment horizontal="left" vertical="center"/>
    </xf>
    <xf numFmtId="0" fontId="23" fillId="63" borderId="139" xfId="0" applyFont="1" applyFill="1" applyBorder="1" applyAlignment="1">
      <alignment wrapText="1"/>
    </xf>
    <xf numFmtId="0" fontId="23" fillId="63" borderId="7" xfId="0" applyFont="1" applyFill="1" applyBorder="1" applyAlignment="1">
      <alignment wrapText="1"/>
    </xf>
    <xf numFmtId="0" fontId="16" fillId="0" borderId="39" xfId="0" applyFont="1" applyBorder="1" applyAlignment="1">
      <alignment wrapText="1"/>
    </xf>
    <xf numFmtId="0" fontId="78" fillId="0" borderId="1" xfId="0" applyFont="1" applyBorder="1"/>
    <xf numFmtId="0" fontId="6" fillId="0" borderId="41" xfId="0" applyFont="1" applyBorder="1"/>
    <xf numFmtId="0" fontId="6" fillId="0" borderId="41" xfId="0" applyFont="1" applyBorder="1" applyAlignment="1">
      <alignment wrapText="1"/>
    </xf>
    <xf numFmtId="0" fontId="179" fillId="0" borderId="41" xfId="0" applyFont="1" applyBorder="1"/>
    <xf numFmtId="0" fontId="180" fillId="0" borderId="39" xfId="0" applyFont="1" applyBorder="1"/>
    <xf numFmtId="0" fontId="180" fillId="0" borderId="53" xfId="0" applyFont="1" applyBorder="1"/>
    <xf numFmtId="0" fontId="78" fillId="0" borderId="43" xfId="0" applyFont="1" applyBorder="1"/>
    <xf numFmtId="0" fontId="179" fillId="0" borderId="44" xfId="0" applyFont="1" applyBorder="1"/>
    <xf numFmtId="0" fontId="0" fillId="0" borderId="39" xfId="0" applyBorder="1" applyAlignment="1">
      <alignment wrapText="1"/>
    </xf>
    <xf numFmtId="0" fontId="6" fillId="0" borderId="1" xfId="0" applyFont="1" applyBorder="1" applyAlignment="1">
      <alignment wrapText="1"/>
    </xf>
    <xf numFmtId="0" fontId="0" fillId="0" borderId="16" xfId="0" applyBorder="1" applyAlignment="1">
      <alignment wrapText="1"/>
    </xf>
    <xf numFmtId="0" fontId="23" fillId="63" borderId="140" xfId="0" applyFont="1" applyFill="1" applyBorder="1" applyAlignment="1">
      <alignment wrapText="1"/>
    </xf>
    <xf numFmtId="0" fontId="2" fillId="0" borderId="0" xfId="1" applyBorder="1" applyAlignment="1">
      <alignment wrapText="1"/>
    </xf>
    <xf numFmtId="0" fontId="23" fillId="63" borderId="23" xfId="0" applyFont="1" applyFill="1" applyBorder="1" applyAlignment="1">
      <alignment wrapText="1"/>
    </xf>
    <xf numFmtId="0" fontId="23" fillId="63" borderId="40" xfId="0" applyFont="1" applyFill="1" applyBorder="1" applyAlignment="1">
      <alignment wrapText="1"/>
    </xf>
    <xf numFmtId="0" fontId="0" fillId="0" borderId="39" xfId="0" applyBorder="1"/>
    <xf numFmtId="0" fontId="0" fillId="0" borderId="41" xfId="0" applyBorder="1"/>
    <xf numFmtId="0" fontId="0" fillId="0" borderId="53" xfId="0" applyBorder="1"/>
    <xf numFmtId="0" fontId="0" fillId="0" borderId="44" xfId="0" applyBorder="1"/>
    <xf numFmtId="0" fontId="6" fillId="0" borderId="44" xfId="0" applyFont="1" applyBorder="1"/>
    <xf numFmtId="0" fontId="23" fillId="63" borderId="23" xfId="0" applyFont="1" applyFill="1" applyBorder="1" applyAlignment="1">
      <alignment horizontal="center" wrapText="1"/>
    </xf>
    <xf numFmtId="0" fontId="23" fillId="63" borderId="40" xfId="0" applyFont="1" applyFill="1" applyBorder="1" applyAlignment="1">
      <alignment horizontal="center" wrapText="1"/>
    </xf>
    <xf numFmtId="0" fontId="78" fillId="5" borderId="39" xfId="0" applyFont="1" applyFill="1" applyBorder="1" applyAlignment="1">
      <alignment vertical="center"/>
    </xf>
    <xf numFmtId="0" fontId="0" fillId="5" borderId="1" xfId="0" applyFill="1" applyBorder="1" applyAlignment="1">
      <alignment wrapText="1"/>
    </xf>
    <xf numFmtId="0" fontId="6" fillId="5" borderId="41" xfId="0" applyFont="1" applyFill="1" applyBorder="1" applyAlignment="1">
      <alignment wrapText="1"/>
    </xf>
    <xf numFmtId="0" fontId="78" fillId="5" borderId="53" xfId="0" applyFont="1" applyFill="1" applyBorder="1" applyAlignment="1">
      <alignment vertical="center"/>
    </xf>
    <xf numFmtId="0" fontId="0" fillId="5" borderId="43" xfId="0" applyFill="1" applyBorder="1" applyAlignment="1">
      <alignment wrapText="1"/>
    </xf>
    <xf numFmtId="0" fontId="6" fillId="5" borderId="44" xfId="0" applyFont="1" applyFill="1" applyBorder="1" applyAlignment="1">
      <alignment wrapText="1"/>
    </xf>
    <xf numFmtId="0" fontId="0" fillId="0" borderId="4" xfId="0" applyBorder="1" applyAlignment="1">
      <alignment horizontal="left" vertical="center" wrapText="1"/>
    </xf>
    <xf numFmtId="0" fontId="181" fillId="0" borderId="0" xfId="0" applyFont="1"/>
    <xf numFmtId="175" fontId="41" fillId="10" borderId="11" xfId="3" applyNumberFormat="1" applyFont="1" applyFill="1" applyBorder="1" applyAlignment="1">
      <alignment horizontal="center" vertical="center" wrapText="1"/>
    </xf>
    <xf numFmtId="0" fontId="0" fillId="100" borderId="1" xfId="0" applyFill="1" applyBorder="1"/>
    <xf numFmtId="0" fontId="0" fillId="76" borderId="7" xfId="0" applyFill="1" applyBorder="1"/>
    <xf numFmtId="0" fontId="39" fillId="101" borderId="7" xfId="0" applyFont="1" applyFill="1" applyBorder="1"/>
    <xf numFmtId="0" fontId="0" fillId="76" borderId="1" xfId="0" applyFill="1" applyBorder="1"/>
    <xf numFmtId="0" fontId="39" fillId="101" borderId="1" xfId="0" applyFont="1" applyFill="1" applyBorder="1"/>
    <xf numFmtId="174" fontId="186" fillId="2" borderId="1" xfId="6" applyNumberFormat="1" applyFont="1" applyFill="1" applyBorder="1" applyAlignment="1">
      <alignment horizontal="center"/>
    </xf>
    <xf numFmtId="174" fontId="13" fillId="58" borderId="1" xfId="6" applyNumberFormat="1" applyFont="1" applyFill="1" applyBorder="1" applyAlignment="1">
      <alignment horizontal="center"/>
    </xf>
    <xf numFmtId="174" fontId="23" fillId="8" borderId="1" xfId="6" applyNumberFormat="1" applyFont="1" applyFill="1" applyBorder="1" applyAlignment="1">
      <alignment horizontal="center"/>
    </xf>
    <xf numFmtId="167" fontId="13" fillId="0" borderId="7" xfId="3" quotePrefix="1" applyNumberFormat="1" applyFont="1" applyFill="1" applyBorder="1" applyAlignment="1">
      <alignment horizontal="center"/>
    </xf>
    <xf numFmtId="174" fontId="23" fillId="2" borderId="7" xfId="6" applyNumberFormat="1" applyFont="1" applyFill="1" applyBorder="1" applyAlignment="1">
      <alignment horizontal="center"/>
    </xf>
    <xf numFmtId="0" fontId="0" fillId="0" borderId="43" xfId="0" applyBorder="1"/>
    <xf numFmtId="0" fontId="0" fillId="100" borderId="43" xfId="0" applyFill="1" applyBorder="1"/>
    <xf numFmtId="0" fontId="43" fillId="20" borderId="43" xfId="0" applyFont="1" applyFill="1" applyBorder="1"/>
    <xf numFmtId="167" fontId="23" fillId="0" borderId="43" xfId="3" quotePrefix="1" applyNumberFormat="1" applyFont="1" applyFill="1" applyBorder="1" applyAlignment="1">
      <alignment horizontal="center"/>
    </xf>
    <xf numFmtId="174" fontId="23" fillId="0" borderId="43" xfId="6" applyNumberFormat="1" applyFont="1" applyFill="1" applyBorder="1" applyAlignment="1">
      <alignment horizontal="center"/>
    </xf>
    <xf numFmtId="0" fontId="41" fillId="10" borderId="23" xfId="0" applyFont="1" applyFill="1" applyBorder="1" applyAlignment="1">
      <alignment horizontal="center" vertical="center"/>
    </xf>
    <xf numFmtId="0" fontId="41" fillId="10" borderId="22" xfId="0" applyFont="1" applyFill="1" applyBorder="1" applyAlignment="1">
      <alignment horizontal="center" vertical="center"/>
    </xf>
    <xf numFmtId="0" fontId="41" fillId="10" borderId="1" xfId="0" applyFont="1" applyFill="1" applyBorder="1" applyAlignment="1">
      <alignment horizontal="center" vertical="center" wrapText="1"/>
    </xf>
    <xf numFmtId="0" fontId="41" fillId="10" borderId="32" xfId="0" applyFont="1" applyFill="1" applyBorder="1" applyAlignment="1">
      <alignment horizontal="center" vertical="center" wrapText="1"/>
    </xf>
    <xf numFmtId="0" fontId="13" fillId="52" borderId="42" xfId="0" applyFont="1" applyFill="1" applyBorder="1"/>
    <xf numFmtId="0" fontId="13" fillId="52" borderId="8" xfId="0" applyFont="1" applyFill="1" applyBorder="1"/>
    <xf numFmtId="0" fontId="16" fillId="52" borderId="7" xfId="0" applyFont="1" applyFill="1" applyBorder="1" applyAlignment="1">
      <alignment horizontal="right"/>
    </xf>
    <xf numFmtId="167" fontId="16" fillId="52" borderId="1" xfId="0" applyNumberFormat="1" applyFont="1" applyFill="1" applyBorder="1" applyAlignment="1">
      <alignment horizontal="right"/>
    </xf>
    <xf numFmtId="167" fontId="16" fillId="52" borderId="41" xfId="0" applyNumberFormat="1" applyFont="1" applyFill="1" applyBorder="1" applyAlignment="1">
      <alignment horizontal="right"/>
    </xf>
    <xf numFmtId="0" fontId="16" fillId="52" borderId="16" xfId="0" applyFont="1" applyFill="1" applyBorder="1"/>
    <xf numFmtId="0" fontId="16" fillId="52" borderId="0" xfId="0" applyFont="1" applyFill="1"/>
    <xf numFmtId="0" fontId="16" fillId="52" borderId="1" xfId="0" applyFont="1" applyFill="1" applyBorder="1" applyAlignment="1">
      <alignment horizontal="right"/>
    </xf>
    <xf numFmtId="0" fontId="13" fillId="52" borderId="2" xfId="0" applyFont="1" applyFill="1" applyBorder="1"/>
    <xf numFmtId="0" fontId="13" fillId="52" borderId="12" xfId="0" applyFont="1" applyFill="1" applyBorder="1"/>
    <xf numFmtId="0" fontId="13" fillId="8" borderId="39" xfId="0" applyFont="1" applyFill="1" applyBorder="1"/>
    <xf numFmtId="0" fontId="13" fillId="8" borderId="5" xfId="0" applyFont="1" applyFill="1" applyBorder="1"/>
    <xf numFmtId="0" fontId="16" fillId="8" borderId="1" xfId="0" applyFont="1" applyFill="1" applyBorder="1" applyAlignment="1">
      <alignment horizontal="right"/>
    </xf>
    <xf numFmtId="167" fontId="16" fillId="8" borderId="1" xfId="3" applyNumberFormat="1" applyFont="1" applyFill="1" applyBorder="1" applyAlignment="1">
      <alignment horizontal="center"/>
    </xf>
    <xf numFmtId="167" fontId="16" fillId="8" borderId="41" xfId="3" applyNumberFormat="1" applyFont="1" applyFill="1" applyBorder="1" applyAlignment="1">
      <alignment horizontal="center"/>
    </xf>
    <xf numFmtId="0" fontId="13" fillId="51" borderId="39" xfId="0" applyFont="1" applyFill="1" applyBorder="1"/>
    <xf numFmtId="0" fontId="16" fillId="51" borderId="1" xfId="0" applyFont="1" applyFill="1" applyBorder="1" applyAlignment="1">
      <alignment horizontal="right"/>
    </xf>
    <xf numFmtId="167" fontId="16" fillId="51" borderId="1" xfId="0" applyNumberFormat="1" applyFont="1" applyFill="1" applyBorder="1" applyAlignment="1">
      <alignment horizontal="right"/>
    </xf>
    <xf numFmtId="167" fontId="16" fillId="51" borderId="41" xfId="0" applyNumberFormat="1" applyFont="1" applyFill="1" applyBorder="1" applyAlignment="1">
      <alignment horizontal="right"/>
    </xf>
    <xf numFmtId="0" fontId="13" fillId="51" borderId="16" xfId="0" applyFont="1" applyFill="1" applyBorder="1"/>
    <xf numFmtId="0" fontId="16" fillId="51" borderId="7" xfId="0" applyFont="1" applyFill="1" applyBorder="1" applyAlignment="1">
      <alignment horizontal="right"/>
    </xf>
    <xf numFmtId="0" fontId="16" fillId="51" borderId="0" xfId="0" applyFont="1" applyFill="1"/>
    <xf numFmtId="0" fontId="16" fillId="51" borderId="16" xfId="0" applyFont="1" applyFill="1" applyBorder="1"/>
    <xf numFmtId="167" fontId="16" fillId="51" borderId="1" xfId="3" applyNumberFormat="1" applyFont="1" applyFill="1" applyBorder="1" applyAlignment="1">
      <alignment horizontal="center"/>
    </xf>
    <xf numFmtId="0" fontId="13" fillId="51" borderId="5" xfId="0" applyFont="1" applyFill="1" applyBorder="1" applyAlignment="1">
      <alignment horizontal="left"/>
    </xf>
    <xf numFmtId="0" fontId="16" fillId="51" borderId="3" xfId="0" applyFont="1" applyFill="1" applyBorder="1" applyAlignment="1">
      <alignment horizontal="right"/>
    </xf>
    <xf numFmtId="0" fontId="13" fillId="51" borderId="9" xfId="0" applyFont="1" applyFill="1" applyBorder="1"/>
    <xf numFmtId="0" fontId="13" fillId="51" borderId="13" xfId="0" applyFont="1" applyFill="1" applyBorder="1"/>
    <xf numFmtId="0" fontId="16" fillId="51" borderId="17" xfId="0" applyFont="1" applyFill="1" applyBorder="1"/>
    <xf numFmtId="0" fontId="13" fillId="51" borderId="142" xfId="0" applyFont="1" applyFill="1" applyBorder="1" applyAlignment="1">
      <alignment horizontal="left"/>
    </xf>
    <xf numFmtId="167" fontId="16" fillId="51" borderId="101" xfId="0" applyNumberFormat="1" applyFont="1" applyFill="1" applyBorder="1" applyAlignment="1">
      <alignment horizontal="right"/>
    </xf>
    <xf numFmtId="0" fontId="6" fillId="14" borderId="14" xfId="0" applyFont="1" applyFill="1" applyBorder="1" applyAlignment="1">
      <alignment horizontal="right"/>
    </xf>
    <xf numFmtId="0" fontId="6" fillId="2" borderId="14" xfId="0" applyFont="1" applyFill="1" applyBorder="1" applyAlignment="1">
      <alignment horizontal="right" vertical="center"/>
    </xf>
    <xf numFmtId="0" fontId="16" fillId="89" borderId="1" xfId="0" applyFont="1" applyFill="1" applyBorder="1" applyAlignment="1">
      <alignment horizontal="right"/>
    </xf>
    <xf numFmtId="165" fontId="16" fillId="89" borderId="7" xfId="3" applyFont="1" applyFill="1" applyBorder="1"/>
    <xf numFmtId="165" fontId="16" fillId="8" borderId="1" xfId="3" applyFont="1" applyFill="1" applyBorder="1"/>
    <xf numFmtId="165" fontId="16" fillId="51" borderId="1" xfId="3" applyFont="1" applyFill="1" applyBorder="1"/>
    <xf numFmtId="0" fontId="39" fillId="20" borderId="1" xfId="0" applyFont="1" applyFill="1" applyBorder="1" applyAlignment="1">
      <alignment horizontal="right"/>
    </xf>
    <xf numFmtId="165" fontId="39" fillId="20" borderId="1" xfId="3" applyFont="1" applyFill="1" applyBorder="1"/>
    <xf numFmtId="0" fontId="13" fillId="5" borderId="0" xfId="0" applyFont="1" applyFill="1" applyAlignment="1">
      <alignment horizontal="left"/>
    </xf>
    <xf numFmtId="0" fontId="16" fillId="5" borderId="0" xfId="0" applyFont="1" applyFill="1" applyAlignment="1">
      <alignment horizontal="right"/>
    </xf>
    <xf numFmtId="167" fontId="16" fillId="5" borderId="0" xfId="0" applyNumberFormat="1" applyFont="1" applyFill="1" applyAlignment="1">
      <alignment horizontal="right"/>
    </xf>
    <xf numFmtId="0" fontId="16" fillId="51" borderId="43" xfId="0" applyFont="1" applyFill="1" applyBorder="1" applyAlignment="1">
      <alignment horizontal="right"/>
    </xf>
    <xf numFmtId="167" fontId="16" fillId="51" borderId="43" xfId="0" applyNumberFormat="1" applyFont="1" applyFill="1" applyBorder="1" applyAlignment="1">
      <alignment horizontal="right"/>
    </xf>
    <xf numFmtId="167" fontId="186" fillId="2" borderId="1" xfId="3" applyNumberFormat="1" applyFont="1" applyFill="1" applyBorder="1" applyAlignment="1">
      <alignment horizontal="center"/>
    </xf>
    <xf numFmtId="167" fontId="186" fillId="58" borderId="1" xfId="3" applyNumberFormat="1" applyFont="1" applyFill="1" applyBorder="1" applyAlignment="1">
      <alignment horizontal="center"/>
    </xf>
    <xf numFmtId="0" fontId="6" fillId="8" borderId="1" xfId="0" applyFont="1" applyFill="1" applyBorder="1" applyAlignment="1">
      <alignment horizontal="center" vertical="center" wrapText="1"/>
    </xf>
    <xf numFmtId="1" fontId="0" fillId="102" borderId="1" xfId="0" applyNumberFormat="1" applyFill="1" applyBorder="1" applyAlignment="1">
      <alignment horizontal="center" vertical="center"/>
    </xf>
    <xf numFmtId="3" fontId="0" fillId="4" borderId="1" xfId="3" applyNumberFormat="1" applyFont="1" applyFill="1" applyBorder="1" applyAlignment="1" applyProtection="1">
      <alignment horizontal="center" vertical="center" wrapText="1"/>
    </xf>
    <xf numFmtId="3" fontId="0" fillId="4" borderId="1" xfId="3" applyNumberFormat="1" applyFont="1" applyFill="1" applyBorder="1" applyAlignment="1" applyProtection="1">
      <alignment horizontal="center" vertical="center"/>
    </xf>
    <xf numFmtId="3" fontId="0" fillId="4" borderId="1" xfId="0" applyNumberFormat="1" applyFill="1" applyBorder="1" applyAlignment="1">
      <alignment horizontal="center" vertical="center"/>
    </xf>
    <xf numFmtId="3" fontId="0" fillId="102" borderId="1" xfId="3" applyNumberFormat="1" applyFont="1" applyFill="1" applyBorder="1" applyAlignment="1" applyProtection="1">
      <alignment horizontal="center" vertical="center" wrapText="1"/>
    </xf>
    <xf numFmtId="3" fontId="0" fillId="4" borderId="0" xfId="0" applyNumberFormat="1" applyFill="1" applyAlignment="1">
      <alignment horizontal="center" vertical="center"/>
    </xf>
    <xf numFmtId="3" fontId="0" fillId="3" borderId="1" xfId="3" applyNumberFormat="1" applyFont="1" applyFill="1" applyBorder="1" applyAlignment="1" applyProtection="1">
      <alignment horizontal="center" vertical="center" wrapText="1"/>
    </xf>
    <xf numFmtId="4" fontId="0" fillId="3" borderId="1" xfId="3" applyNumberFormat="1" applyFont="1" applyFill="1" applyBorder="1" applyAlignment="1" applyProtection="1">
      <alignment horizontal="center" vertical="center" wrapText="1"/>
    </xf>
    <xf numFmtId="4" fontId="0" fillId="4" borderId="1" xfId="3" applyNumberFormat="1" applyFont="1" applyFill="1" applyBorder="1" applyAlignment="1" applyProtection="1">
      <alignment horizontal="center" vertical="center" wrapText="1"/>
    </xf>
    <xf numFmtId="0" fontId="0" fillId="5" borderId="0" xfId="0" applyFill="1" applyAlignment="1">
      <alignment horizontal="center" vertical="center"/>
    </xf>
    <xf numFmtId="165" fontId="185" fillId="14" borderId="141" xfId="3" applyFont="1" applyFill="1" applyBorder="1" applyAlignment="1"/>
    <xf numFmtId="166" fontId="23" fillId="2" borderId="1" xfId="0" applyNumberFormat="1" applyFont="1" applyFill="1" applyBorder="1" applyAlignment="1" applyProtection="1">
      <alignment horizontal="center" vertical="center" wrapText="1"/>
      <protection locked="0"/>
    </xf>
    <xf numFmtId="0" fontId="198" fillId="0" borderId="0" xfId="0" applyFont="1"/>
    <xf numFmtId="0" fontId="16" fillId="0" borderId="62" xfId="0" applyFont="1" applyBorder="1" applyAlignment="1">
      <alignment horizontal="left" vertical="top"/>
    </xf>
    <xf numFmtId="0" fontId="0" fillId="0" borderId="62" xfId="0" applyBorder="1" applyAlignment="1">
      <alignment horizontal="left" vertical="top"/>
    </xf>
    <xf numFmtId="0" fontId="4" fillId="7" borderId="54" xfId="0" applyFont="1" applyFill="1" applyBorder="1" applyAlignment="1">
      <alignment horizontal="left"/>
    </xf>
    <xf numFmtId="0" fontId="4" fillId="7" borderId="55" xfId="0" applyFont="1" applyFill="1" applyBorder="1" applyAlignment="1">
      <alignment horizontal="left" wrapText="1"/>
    </xf>
    <xf numFmtId="0" fontId="4" fillId="7" borderId="56" xfId="0" applyFont="1" applyFill="1" applyBorder="1" applyAlignment="1">
      <alignment horizontal="left" wrapText="1"/>
    </xf>
    <xf numFmtId="0" fontId="3" fillId="54" borderId="42" xfId="0" applyFont="1" applyFill="1" applyBorder="1" applyAlignment="1">
      <alignment vertical="center" wrapText="1"/>
    </xf>
    <xf numFmtId="165" fontId="3" fillId="0" borderId="7" xfId="3" applyFont="1" applyFill="1" applyBorder="1" applyAlignment="1">
      <alignment vertical="center"/>
    </xf>
    <xf numFmtId="0" fontId="3" fillId="54" borderId="166" xfId="0" applyFont="1" applyFill="1" applyBorder="1" applyAlignment="1">
      <alignment horizontal="center"/>
    </xf>
    <xf numFmtId="0" fontId="3" fillId="54" borderId="39" xfId="0" applyFont="1" applyFill="1" applyBorder="1" applyAlignment="1">
      <alignment vertical="center" wrapText="1"/>
    </xf>
    <xf numFmtId="165" fontId="3" fillId="0" borderId="1" xfId="3" applyFont="1" applyFill="1" applyBorder="1" applyAlignment="1">
      <alignment vertical="center"/>
    </xf>
    <xf numFmtId="0" fontId="3" fillId="0" borderId="41" xfId="0" applyFont="1" applyBorder="1" applyAlignment="1">
      <alignment horizontal="center"/>
    </xf>
    <xf numFmtId="190" fontId="3" fillId="5" borderId="1" xfId="3" applyNumberFormat="1" applyFont="1" applyFill="1" applyBorder="1" applyAlignment="1">
      <alignment vertical="center"/>
    </xf>
    <xf numFmtId="0" fontId="201" fillId="0" borderId="0" xfId="0" applyFont="1" applyAlignment="1">
      <alignment vertical="center"/>
    </xf>
    <xf numFmtId="0" fontId="0" fillId="0" borderId="37" xfId="0" applyBorder="1" applyAlignment="1">
      <alignment vertical="center" wrapText="1"/>
    </xf>
    <xf numFmtId="0" fontId="0" fillId="0" borderId="34" xfId="0" applyBorder="1" applyAlignment="1">
      <alignment horizontal="center" vertical="center" wrapText="1"/>
    </xf>
    <xf numFmtId="0" fontId="6" fillId="70" borderId="49" xfId="0" applyFont="1" applyFill="1" applyBorder="1" applyAlignment="1">
      <alignment horizontal="center" vertical="center" wrapText="1"/>
    </xf>
    <xf numFmtId="0" fontId="6" fillId="70" borderId="33" xfId="0" applyFont="1" applyFill="1" applyBorder="1" applyAlignment="1">
      <alignment horizontal="center" vertical="center" wrapText="1"/>
    </xf>
    <xf numFmtId="0" fontId="0" fillId="70" borderId="34" xfId="0" applyFill="1" applyBorder="1" applyAlignment="1">
      <alignment vertical="top" wrapText="1"/>
    </xf>
    <xf numFmtId="0" fontId="6" fillId="70" borderId="34" xfId="0" applyFont="1" applyFill="1" applyBorder="1" applyAlignment="1">
      <alignment horizontal="center" vertical="center" wrapText="1"/>
    </xf>
    <xf numFmtId="0" fontId="5" fillId="0" borderId="34" xfId="0" applyFont="1" applyBorder="1" applyAlignment="1">
      <alignment horizontal="center" vertical="center" wrapText="1"/>
    </xf>
    <xf numFmtId="0" fontId="5" fillId="0" borderId="37" xfId="0" applyFont="1" applyBorder="1" applyAlignment="1">
      <alignment horizontal="left" vertical="center" wrapText="1"/>
    </xf>
    <xf numFmtId="0" fontId="6" fillId="70" borderId="14" xfId="0" applyFont="1" applyFill="1" applyBorder="1" applyAlignment="1">
      <alignment vertical="center" wrapText="1"/>
    </xf>
    <xf numFmtId="0" fontId="6" fillId="70" borderId="45" xfId="0" applyFont="1" applyFill="1" applyBorder="1" applyAlignment="1">
      <alignment horizontal="center" vertical="center" wrapText="1"/>
    </xf>
    <xf numFmtId="0" fontId="78" fillId="0" borderId="34" xfId="0" applyFont="1" applyBorder="1" applyAlignment="1">
      <alignment horizontal="center" vertical="center" wrapText="1"/>
    </xf>
    <xf numFmtId="0" fontId="0" fillId="0" borderId="36" xfId="0" applyBorder="1" applyAlignment="1">
      <alignment vertical="center" wrapText="1"/>
    </xf>
    <xf numFmtId="0" fontId="78" fillId="0" borderId="36" xfId="0" applyFont="1" applyBorder="1" applyAlignment="1">
      <alignment vertical="center" wrapText="1"/>
    </xf>
    <xf numFmtId="0" fontId="0" fillId="0" borderId="0" xfId="0" applyAlignment="1">
      <alignment vertical="center" wrapText="1"/>
    </xf>
    <xf numFmtId="0" fontId="78" fillId="0" borderId="0" xfId="0" applyFont="1" applyAlignment="1">
      <alignment horizontal="center" vertical="center" wrapText="1"/>
    </xf>
    <xf numFmtId="0" fontId="6" fillId="72" borderId="63" xfId="0" applyFont="1" applyFill="1" applyBorder="1" applyAlignment="1">
      <alignment horizontal="left" vertical="top"/>
    </xf>
    <xf numFmtId="0" fontId="3" fillId="54" borderId="99" xfId="0" applyFont="1" applyFill="1" applyBorder="1" applyAlignment="1">
      <alignment vertical="center" wrapText="1"/>
    </xf>
    <xf numFmtId="190" fontId="3" fillId="5" borderId="5" xfId="3" applyNumberFormat="1" applyFont="1" applyFill="1" applyBorder="1" applyAlignment="1">
      <alignment vertical="center"/>
    </xf>
    <xf numFmtId="0" fontId="3" fillId="0" borderId="38" xfId="0" applyFont="1" applyBorder="1" applyAlignment="1">
      <alignment vertical="center" wrapText="1"/>
    </xf>
    <xf numFmtId="190" fontId="3" fillId="0" borderId="38" xfId="3" applyNumberFormat="1" applyFont="1" applyFill="1" applyBorder="1" applyAlignment="1">
      <alignment vertical="center"/>
    </xf>
    <xf numFmtId="0" fontId="3" fillId="0" borderId="0" xfId="0" applyFont="1" applyAlignment="1">
      <alignment vertical="center" wrapText="1"/>
    </xf>
    <xf numFmtId="190" fontId="3" fillId="0" borderId="0" xfId="3" applyNumberFormat="1" applyFont="1" applyFill="1" applyBorder="1" applyAlignment="1">
      <alignment vertical="center"/>
    </xf>
    <xf numFmtId="0" fontId="4" fillId="7" borderId="1" xfId="0" applyFont="1" applyFill="1" applyBorder="1" applyAlignment="1">
      <alignment horizontal="left"/>
    </xf>
    <xf numFmtId="0" fontId="4" fillId="7" borderId="1" xfId="0" applyFont="1" applyFill="1" applyBorder="1" applyAlignment="1">
      <alignment horizontal="left" wrapText="1"/>
    </xf>
    <xf numFmtId="0" fontId="3" fillId="54" borderId="1" xfId="0" applyFont="1" applyFill="1" applyBorder="1" applyAlignment="1">
      <alignment vertical="center" wrapText="1"/>
    </xf>
    <xf numFmtId="0" fontId="0" fillId="103" borderId="37" xfId="0" applyFill="1" applyBorder="1" applyAlignment="1">
      <alignment vertical="center" wrapText="1"/>
    </xf>
    <xf numFmtId="0" fontId="5" fillId="103" borderId="34" xfId="0" applyFont="1" applyFill="1" applyBorder="1" applyAlignment="1">
      <alignment horizontal="center" vertical="center" wrapText="1"/>
    </xf>
    <xf numFmtId="0" fontId="0" fillId="103" borderId="34" xfId="0" applyFill="1" applyBorder="1" applyAlignment="1">
      <alignment horizontal="center" vertical="center" wrapText="1"/>
    </xf>
    <xf numFmtId="0" fontId="45" fillId="0" borderId="0" xfId="1" applyFont="1" applyBorder="1" applyAlignment="1">
      <alignment vertical="center"/>
    </xf>
    <xf numFmtId="169" fontId="202" fillId="4" borderId="5" xfId="0" applyNumberFormat="1" applyFont="1" applyFill="1" applyBorder="1" applyAlignment="1">
      <alignment horizontal="center" vertical="center" wrapText="1"/>
    </xf>
    <xf numFmtId="0" fontId="6" fillId="104" borderId="49" xfId="0" applyFont="1" applyFill="1" applyBorder="1" applyAlignment="1">
      <alignment horizontal="center" vertical="center" wrapText="1"/>
    </xf>
    <xf numFmtId="0" fontId="6" fillId="104" borderId="34"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40" xfId="0" applyFont="1" applyFill="1" applyBorder="1" applyAlignment="1">
      <alignment horizontal="center" vertical="center" wrapText="1"/>
    </xf>
    <xf numFmtId="49" fontId="121" fillId="11" borderId="39" xfId="0" applyNumberFormat="1" applyFont="1" applyFill="1" applyBorder="1" applyAlignment="1">
      <alignment horizontal="center" vertical="center" wrapText="1"/>
    </xf>
    <xf numFmtId="0" fontId="1" fillId="4" borderId="41" xfId="0" applyFont="1" applyFill="1" applyBorder="1"/>
    <xf numFmtId="49" fontId="121" fillId="11" borderId="53" xfId="0" applyNumberFormat="1" applyFont="1" applyFill="1" applyBorder="1" applyAlignment="1">
      <alignment horizontal="center" vertical="center" wrapText="1"/>
    </xf>
    <xf numFmtId="0" fontId="1" fillId="4" borderId="44" xfId="0" applyFont="1" applyFill="1" applyBorder="1"/>
    <xf numFmtId="0" fontId="0" fillId="4" borderId="23" xfId="0" applyFill="1" applyBorder="1" applyAlignment="1">
      <alignment horizontal="center" vertical="center" wrapText="1"/>
    </xf>
    <xf numFmtId="0" fontId="0" fillId="4" borderId="40" xfId="0" applyFill="1" applyBorder="1" applyAlignment="1">
      <alignment horizontal="center" vertical="center" wrapText="1"/>
    </xf>
    <xf numFmtId="0" fontId="8" fillId="4" borderId="53" xfId="0" applyFont="1" applyFill="1" applyBorder="1" applyAlignment="1">
      <alignment horizontal="center" vertical="center"/>
    </xf>
    <xf numFmtId="0" fontId="8" fillId="4" borderId="44" xfId="0" applyFont="1" applyFill="1" applyBorder="1" applyAlignment="1">
      <alignment horizontal="center" vertical="center"/>
    </xf>
    <xf numFmtId="49" fontId="1" fillId="11" borderId="1" xfId="0" applyNumberFormat="1" applyFont="1" applyFill="1" applyBorder="1" applyAlignment="1">
      <alignment horizontal="center" vertical="center" wrapText="1"/>
    </xf>
    <xf numFmtId="0" fontId="3" fillId="54" borderId="23" xfId="0" applyFont="1" applyFill="1" applyBorder="1" applyAlignment="1">
      <alignment wrapText="1"/>
    </xf>
    <xf numFmtId="0" fontId="3" fillId="54" borderId="42" xfId="0" applyFont="1" applyFill="1" applyBorder="1" applyAlignment="1">
      <alignment wrapText="1"/>
    </xf>
    <xf numFmtId="0" fontId="3" fillId="54" borderId="53" xfId="0" applyFont="1" applyFill="1" applyBorder="1" applyAlignment="1">
      <alignment wrapText="1"/>
    </xf>
    <xf numFmtId="176" fontId="3" fillId="54" borderId="23" xfId="3" applyNumberFormat="1" applyFont="1" applyFill="1" applyBorder="1" applyAlignment="1">
      <alignment wrapText="1"/>
    </xf>
    <xf numFmtId="0" fontId="0" fillId="0" borderId="41" xfId="0" applyBorder="1" applyAlignment="1">
      <alignment horizontal="left" vertical="center" wrapText="1"/>
    </xf>
    <xf numFmtId="0" fontId="6" fillId="0" borderId="1" xfId="0" applyFont="1" applyBorder="1" applyAlignment="1">
      <alignment horizontal="left" vertical="center" wrapText="1"/>
    </xf>
    <xf numFmtId="173" fontId="6" fillId="0" borderId="1" xfId="0" applyNumberFormat="1" applyFont="1" applyBorder="1" applyAlignment="1">
      <alignment horizontal="left" vertical="center"/>
    </xf>
    <xf numFmtId="0" fontId="0" fillId="0" borderId="22" xfId="0" applyBorder="1" applyAlignment="1">
      <alignment horizontal="left" vertical="center"/>
    </xf>
    <xf numFmtId="0" fontId="6" fillId="63" borderId="40" xfId="0" applyFont="1" applyFill="1" applyBorder="1" applyAlignment="1">
      <alignment horizontal="left" vertical="center" wrapText="1"/>
    </xf>
    <xf numFmtId="0" fontId="1" fillId="0" borderId="41" xfId="0" applyFont="1" applyBorder="1"/>
    <xf numFmtId="0" fontId="0" fillId="0" borderId="41" xfId="0" quotePrefix="1" applyBorder="1" applyAlignment="1">
      <alignment horizontal="left" vertical="center" wrapText="1"/>
    </xf>
    <xf numFmtId="173" fontId="6" fillId="0" borderId="43" xfId="0" applyNumberFormat="1" applyFont="1" applyBorder="1" applyAlignment="1">
      <alignment horizontal="left" vertical="center"/>
    </xf>
    <xf numFmtId="0" fontId="0" fillId="0" borderId="44" xfId="0" quotePrefix="1" applyBorder="1" applyAlignment="1">
      <alignment horizontal="left" vertical="center" wrapText="1"/>
    </xf>
    <xf numFmtId="0" fontId="0" fillId="9" borderId="61" xfId="0" applyFill="1" applyBorder="1" applyAlignment="1">
      <alignment horizontal="left" vertical="top"/>
    </xf>
    <xf numFmtId="173" fontId="16" fillId="9" borderId="61" xfId="0" applyNumberFormat="1" applyFont="1" applyFill="1" applyBorder="1" applyAlignment="1">
      <alignment horizontal="right" vertical="top"/>
    </xf>
    <xf numFmtId="169" fontId="16" fillId="9" borderId="61" xfId="0" applyNumberFormat="1" applyFont="1" applyFill="1" applyBorder="1" applyAlignment="1">
      <alignment horizontal="right" vertical="top"/>
    </xf>
    <xf numFmtId="181" fontId="16" fillId="9" borderId="61" xfId="0" applyNumberFormat="1" applyFont="1" applyFill="1" applyBorder="1" applyAlignment="1">
      <alignment horizontal="right" vertical="top"/>
    </xf>
    <xf numFmtId="0" fontId="16" fillId="9" borderId="62" xfId="0" applyFont="1" applyFill="1" applyBorder="1" applyAlignment="1">
      <alignment horizontal="left" vertical="top"/>
    </xf>
    <xf numFmtId="9" fontId="0" fillId="9" borderId="0" xfId="6" applyFont="1" applyFill="1" applyBorder="1"/>
    <xf numFmtId="180" fontId="16" fillId="9" borderId="61" xfId="0" applyNumberFormat="1" applyFont="1" applyFill="1" applyBorder="1" applyAlignment="1">
      <alignment horizontal="right" vertical="top"/>
    </xf>
    <xf numFmtId="0" fontId="0" fillId="9" borderId="62" xfId="0" applyFill="1" applyBorder="1" applyAlignment="1">
      <alignment horizontal="left" vertical="top"/>
    </xf>
    <xf numFmtId="173" fontId="0" fillId="9" borderId="0" xfId="0" applyNumberFormat="1" applyFill="1" applyAlignment="1">
      <alignment horizontal="right" vertical="top"/>
    </xf>
    <xf numFmtId="0" fontId="6" fillId="0" borderId="14" xfId="0" applyFont="1" applyBorder="1" applyAlignment="1">
      <alignment vertical="center" wrapText="1"/>
    </xf>
    <xf numFmtId="0" fontId="6" fillId="0" borderId="45" xfId="0" applyFont="1" applyBorder="1" applyAlignment="1">
      <alignment horizontal="center" vertical="center" wrapText="1"/>
    </xf>
    <xf numFmtId="0" fontId="206" fillId="106" borderId="168" xfId="0" applyFont="1" applyFill="1" applyBorder="1" applyAlignment="1">
      <alignment horizontal="left" vertical="center" wrapText="1"/>
    </xf>
    <xf numFmtId="0" fontId="206" fillId="106" borderId="169" xfId="0" applyFont="1" applyFill="1" applyBorder="1" applyAlignment="1">
      <alignment horizontal="center" vertical="center" wrapText="1"/>
    </xf>
    <xf numFmtId="0" fontId="207" fillId="59" borderId="170" xfId="0" applyFont="1" applyFill="1" applyBorder="1" applyAlignment="1">
      <alignment horizontal="left" vertical="center" wrapText="1"/>
    </xf>
    <xf numFmtId="0" fontId="207" fillId="59" borderId="171" xfId="0" applyFont="1" applyFill="1" applyBorder="1" applyAlignment="1">
      <alignment horizontal="center" vertical="center" wrapText="1"/>
    </xf>
    <xf numFmtId="0" fontId="207" fillId="59" borderId="172" xfId="0" applyFont="1" applyFill="1" applyBorder="1" applyAlignment="1">
      <alignment horizontal="center" vertical="center" wrapText="1"/>
    </xf>
    <xf numFmtId="0" fontId="207" fillId="107" borderId="170" xfId="0" applyFont="1" applyFill="1" applyBorder="1" applyAlignment="1">
      <alignment horizontal="left" vertical="center" wrapText="1"/>
    </xf>
    <xf numFmtId="0" fontId="207" fillId="107" borderId="172" xfId="0" applyFont="1" applyFill="1" applyBorder="1" applyAlignment="1">
      <alignment horizontal="center" vertical="center" wrapText="1"/>
    </xf>
    <xf numFmtId="0" fontId="126" fillId="70" borderId="85" xfId="0" applyFont="1" applyFill="1" applyBorder="1" applyAlignment="1">
      <alignment horizontal="center" vertical="center" wrapText="1"/>
    </xf>
    <xf numFmtId="0" fontId="126" fillId="70" borderId="89" xfId="0" applyFont="1" applyFill="1" applyBorder="1" applyAlignment="1">
      <alignment horizontal="center" vertical="center" wrapText="1"/>
    </xf>
    <xf numFmtId="0" fontId="0" fillId="70" borderId="89" xfId="0" applyFill="1" applyBorder="1" applyAlignment="1">
      <alignment vertical="center" wrapText="1"/>
    </xf>
    <xf numFmtId="0" fontId="0" fillId="70" borderId="93" xfId="0" applyFill="1" applyBorder="1" applyAlignment="1">
      <alignment vertical="center" wrapText="1"/>
    </xf>
    <xf numFmtId="0" fontId="126" fillId="70" borderId="93" xfId="0" applyFont="1" applyFill="1" applyBorder="1" applyAlignment="1">
      <alignment horizontal="center" vertical="center" wrapText="1"/>
    </xf>
    <xf numFmtId="0" fontId="123" fillId="3" borderId="94" xfId="0" applyFont="1" applyFill="1" applyBorder="1" applyAlignment="1">
      <alignment vertical="center" wrapText="1"/>
    </xf>
    <xf numFmtId="0" fontId="123" fillId="3" borderId="93" xfId="0" applyFont="1" applyFill="1" applyBorder="1" applyAlignment="1">
      <alignment horizontal="center" vertical="center" wrapText="1"/>
    </xf>
    <xf numFmtId="0" fontId="4" fillId="7" borderId="82" xfId="0" applyFont="1" applyFill="1" applyBorder="1" applyAlignment="1">
      <alignment horizontal="left"/>
    </xf>
    <xf numFmtId="0" fontId="208" fillId="0" borderId="1" xfId="0" applyFont="1" applyBorder="1"/>
    <xf numFmtId="0" fontId="8" fillId="7" borderId="1" xfId="0" applyFont="1" applyFill="1" applyBorder="1" applyAlignment="1">
      <alignment horizontal="center" vertical="center"/>
    </xf>
    <xf numFmtId="0" fontId="1" fillId="4" borderId="1" xfId="0" applyFont="1" applyFill="1" applyBorder="1" applyAlignment="1">
      <alignment horizontal="left"/>
    </xf>
    <xf numFmtId="0" fontId="1" fillId="0" borderId="1" xfId="0" applyFont="1" applyBorder="1" applyAlignment="1">
      <alignment wrapText="1"/>
    </xf>
    <xf numFmtId="11" fontId="8" fillId="0" borderId="1" xfId="0" applyNumberFormat="1" applyFont="1" applyBorder="1"/>
    <xf numFmtId="11" fontId="209" fillId="0" borderId="1" xfId="0" applyNumberFormat="1" applyFont="1" applyBorder="1"/>
    <xf numFmtId="165" fontId="8" fillId="0" borderId="0" xfId="3" applyFont="1" applyAlignment="1">
      <alignment horizontal="left" vertical="center" wrapText="1"/>
    </xf>
    <xf numFmtId="165" fontId="20" fillId="0" borderId="0" xfId="3" applyFont="1" applyAlignment="1">
      <alignment horizontal="left" vertical="center" wrapText="1"/>
    </xf>
    <xf numFmtId="165" fontId="95" fillId="0" borderId="0" xfId="3" applyFont="1" applyBorder="1" applyAlignment="1" applyProtection="1">
      <alignment horizontal="left"/>
    </xf>
    <xf numFmtId="165" fontId="1" fillId="0" borderId="0" xfId="3" applyFont="1" applyBorder="1" applyAlignment="1" applyProtection="1">
      <alignment horizontal="left"/>
    </xf>
    <xf numFmtId="165" fontId="98" fillId="0" borderId="0" xfId="3" applyFont="1" applyBorder="1" applyAlignment="1" applyProtection="1">
      <alignment horizontal="left"/>
    </xf>
    <xf numFmtId="165" fontId="95" fillId="0" borderId="0" xfId="3" applyFont="1" applyAlignment="1" applyProtection="1">
      <alignment horizontal="left"/>
    </xf>
    <xf numFmtId="165" fontId="1" fillId="5" borderId="0" xfId="3" applyFont="1" applyFill="1" applyAlignment="1">
      <alignment horizontal="left"/>
    </xf>
    <xf numFmtId="165" fontId="1" fillId="3" borderId="2" xfId="3" applyFont="1" applyFill="1" applyBorder="1" applyAlignment="1" applyProtection="1">
      <alignment horizontal="left"/>
    </xf>
    <xf numFmtId="165" fontId="1" fillId="3" borderId="97" xfId="3" applyFont="1" applyFill="1" applyBorder="1" applyAlignment="1" applyProtection="1">
      <alignment horizontal="left"/>
    </xf>
    <xf numFmtId="0" fontId="78" fillId="5" borderId="37" xfId="0" applyFont="1" applyFill="1" applyBorder="1" applyAlignment="1">
      <alignment vertical="center" wrapText="1"/>
    </xf>
    <xf numFmtId="0" fontId="78" fillId="5" borderId="34" xfId="0" applyFont="1" applyFill="1" applyBorder="1" applyAlignment="1">
      <alignment horizontal="center" vertical="center" wrapText="1"/>
    </xf>
    <xf numFmtId="0" fontId="0" fillId="5" borderId="36" xfId="0" applyFill="1" applyBorder="1" applyAlignment="1">
      <alignment vertical="center" wrapText="1"/>
    </xf>
    <xf numFmtId="0" fontId="0" fillId="5" borderId="37" xfId="0" applyFill="1" applyBorder="1" applyAlignment="1">
      <alignment vertical="center" wrapText="1"/>
    </xf>
    <xf numFmtId="0" fontId="78" fillId="5" borderId="36" xfId="0" applyFont="1" applyFill="1" applyBorder="1" applyAlignment="1">
      <alignment vertical="center" wrapText="1"/>
    </xf>
    <xf numFmtId="0" fontId="62" fillId="5" borderId="0" xfId="0" applyFont="1" applyFill="1" applyAlignment="1">
      <alignment horizontal="center" wrapText="1"/>
    </xf>
    <xf numFmtId="0" fontId="213" fillId="111" borderId="57" xfId="0" applyFont="1" applyFill="1" applyBorder="1" applyAlignment="1">
      <alignment horizontal="left" vertical="top"/>
    </xf>
    <xf numFmtId="0" fontId="214" fillId="113" borderId="57" xfId="0" applyFont="1" applyFill="1" applyBorder="1" applyAlignment="1">
      <alignment horizontal="left" vertical="top"/>
    </xf>
    <xf numFmtId="182" fontId="214" fillId="114" borderId="57" xfId="0" applyNumberFormat="1" applyFont="1" applyFill="1" applyBorder="1" applyAlignment="1">
      <alignment horizontal="right"/>
    </xf>
    <xf numFmtId="165" fontId="9" fillId="4" borderId="1" xfId="3" applyFont="1" applyFill="1" applyBorder="1" applyAlignment="1">
      <alignment horizontal="left" vertical="center" wrapText="1"/>
    </xf>
    <xf numFmtId="165" fontId="9" fillId="4" borderId="95" xfId="3" applyFont="1" applyFill="1" applyBorder="1" applyAlignment="1">
      <alignment horizontal="left" vertical="center" wrapText="1"/>
    </xf>
    <xf numFmtId="165" fontId="1" fillId="0" borderId="0" xfId="3" applyFont="1" applyAlignment="1">
      <alignment horizontal="left"/>
    </xf>
    <xf numFmtId="165" fontId="25" fillId="0" borderId="0" xfId="3" applyFont="1" applyAlignment="1">
      <alignment horizontal="left"/>
    </xf>
    <xf numFmtId="165" fontId="25" fillId="0" borderId="0" xfId="3" applyFont="1" applyAlignment="1">
      <alignment horizontal="left" vertical="center"/>
    </xf>
    <xf numFmtId="165" fontId="25" fillId="4" borderId="1" xfId="3" applyFont="1" applyFill="1" applyBorder="1" applyAlignment="1">
      <alignment horizontal="left" vertical="center" wrapText="1"/>
    </xf>
    <xf numFmtId="165" fontId="1" fillId="2" borderId="1" xfId="3" applyFont="1" applyFill="1" applyBorder="1" applyAlignment="1" applyProtection="1">
      <alignment horizontal="left" wrapText="1"/>
      <protection locked="0"/>
    </xf>
    <xf numFmtId="165" fontId="1" fillId="2" borderId="2" xfId="3" applyFont="1" applyFill="1" applyBorder="1" applyAlignment="1" applyProtection="1">
      <alignment horizontal="left" wrapText="1"/>
      <protection locked="0"/>
    </xf>
    <xf numFmtId="165" fontId="8" fillId="3" borderId="1" xfId="3" applyFont="1" applyFill="1" applyBorder="1" applyAlignment="1">
      <alignment horizontal="left" vertical="center"/>
    </xf>
    <xf numFmtId="165" fontId="8" fillId="3" borderId="96" xfId="3" applyFont="1" applyFill="1" applyBorder="1" applyAlignment="1">
      <alignment horizontal="left" vertical="center"/>
    </xf>
    <xf numFmtId="165" fontId="23" fillId="7" borderId="54" xfId="3" applyFont="1" applyFill="1" applyBorder="1" applyAlignment="1">
      <alignment horizontal="left" vertical="center" wrapText="1"/>
    </xf>
    <xf numFmtId="165" fontId="1" fillId="3" borderId="56" xfId="3" applyFont="1" applyFill="1" applyBorder="1" applyAlignment="1">
      <alignment horizontal="left" vertical="center" wrapText="1"/>
    </xf>
    <xf numFmtId="174" fontId="13" fillId="2" borderId="1" xfId="6" applyNumberFormat="1" applyFont="1" applyFill="1" applyBorder="1" applyAlignment="1">
      <alignment horizontal="center"/>
    </xf>
    <xf numFmtId="165" fontId="1" fillId="4" borderId="1" xfId="3" applyFont="1" applyFill="1" applyBorder="1" applyAlignment="1">
      <alignment horizontal="left" vertical="center" wrapText="1"/>
    </xf>
    <xf numFmtId="165" fontId="23" fillId="70" borderId="4" xfId="3" applyFont="1" applyFill="1" applyBorder="1" applyAlignment="1">
      <alignment horizontal="left" vertical="center" wrapText="1"/>
    </xf>
    <xf numFmtId="165" fontId="70" fillId="0" borderId="0" xfId="3" applyFont="1" applyAlignment="1">
      <alignment horizontal="left" vertical="center"/>
    </xf>
    <xf numFmtId="165" fontId="25" fillId="70" borderId="2" xfId="3" applyFont="1" applyFill="1" applyBorder="1" applyAlignment="1">
      <alignment horizontal="left" vertical="center" wrapText="1"/>
    </xf>
    <xf numFmtId="165" fontId="111" fillId="0" borderId="0" xfId="3" applyFont="1" applyAlignment="1">
      <alignment horizontal="left" wrapText="1"/>
    </xf>
    <xf numFmtId="165" fontId="8" fillId="0" borderId="0" xfId="3" applyFont="1" applyAlignment="1">
      <alignment horizontal="left" vertical="center"/>
    </xf>
    <xf numFmtId="165" fontId="1" fillId="0" borderId="0" xfId="3" applyFont="1" applyAlignment="1">
      <alignment horizontal="left" vertical="center"/>
    </xf>
    <xf numFmtId="165" fontId="23" fillId="0" borderId="0" xfId="3" applyFont="1" applyAlignment="1">
      <alignment horizontal="left" vertical="center" wrapText="1"/>
    </xf>
    <xf numFmtId="165" fontId="1" fillId="4" borderId="1" xfId="3" applyFont="1" applyFill="1" applyBorder="1" applyAlignment="1">
      <alignment horizontal="left"/>
    </xf>
    <xf numFmtId="165" fontId="28" fillId="0" borderId="0" xfId="3" applyFont="1" applyAlignment="1">
      <alignment horizontal="left" vertical="center" wrapText="1"/>
    </xf>
    <xf numFmtId="165" fontId="30" fillId="4" borderId="1" xfId="3" applyFont="1" applyFill="1" applyBorder="1" applyAlignment="1">
      <alignment horizontal="left" vertical="top" wrapText="1"/>
    </xf>
    <xf numFmtId="165" fontId="93" fillId="0" borderId="0" xfId="3" applyFont="1" applyAlignment="1">
      <alignment horizontal="left" vertical="top" wrapText="1"/>
    </xf>
    <xf numFmtId="165" fontId="102" fillId="16" borderId="1" xfId="3" applyFont="1" applyFill="1" applyBorder="1" applyAlignment="1">
      <alignment horizontal="left" vertical="center"/>
    </xf>
    <xf numFmtId="165" fontId="102" fillId="16" borderId="5" xfId="3" applyFont="1" applyFill="1" applyBorder="1" applyAlignment="1">
      <alignment horizontal="left" vertical="center"/>
    </xf>
    <xf numFmtId="165" fontId="23" fillId="70" borderId="3" xfId="3" applyFont="1" applyFill="1" applyBorder="1" applyAlignment="1" applyProtection="1">
      <alignment horizontal="left" vertical="center" wrapText="1"/>
    </xf>
    <xf numFmtId="165" fontId="23" fillId="70" borderId="0" xfId="3" applyFont="1" applyFill="1" applyBorder="1" applyAlignment="1" applyProtection="1">
      <alignment horizontal="left" vertical="center" wrapText="1"/>
    </xf>
    <xf numFmtId="165" fontId="95" fillId="0" borderId="0" xfId="3" applyFont="1" applyAlignment="1">
      <alignment horizontal="left" vertical="center"/>
    </xf>
    <xf numFmtId="165" fontId="171" fillId="0" borderId="0" xfId="3" applyFont="1" applyAlignment="1">
      <alignment horizontal="left" vertical="center" wrapText="1"/>
    </xf>
    <xf numFmtId="165" fontId="118" fillId="12" borderId="0" xfId="3" applyFont="1" applyFill="1" applyAlignment="1">
      <alignment horizontal="left"/>
    </xf>
    <xf numFmtId="165" fontId="122" fillId="12" borderId="0" xfId="3" applyFont="1" applyFill="1" applyAlignment="1">
      <alignment horizontal="left"/>
    </xf>
    <xf numFmtId="165" fontId="20" fillId="0" borderId="0" xfId="3" applyFont="1" applyAlignment="1">
      <alignment horizontal="left"/>
    </xf>
    <xf numFmtId="165" fontId="102" fillId="16" borderId="2" xfId="3" applyFont="1" applyFill="1" applyBorder="1" applyAlignment="1">
      <alignment horizontal="left" vertical="center"/>
    </xf>
    <xf numFmtId="165" fontId="102" fillId="16" borderId="3" xfId="3" applyFont="1" applyFill="1" applyBorder="1" applyAlignment="1">
      <alignment horizontal="left" vertical="center"/>
    </xf>
    <xf numFmtId="165" fontId="102" fillId="16" borderId="6" xfId="3" applyFont="1" applyFill="1" applyBorder="1" applyAlignment="1" applyProtection="1">
      <alignment horizontal="left" vertical="center"/>
      <protection locked="0"/>
    </xf>
    <xf numFmtId="165" fontId="95" fillId="0" borderId="0" xfId="3" applyFont="1" applyAlignment="1">
      <alignment horizontal="left" vertical="center" wrapText="1"/>
    </xf>
    <xf numFmtId="0" fontId="46" fillId="15" borderId="2" xfId="0" applyFont="1" applyFill="1" applyBorder="1" applyAlignment="1">
      <alignment horizontal="center"/>
    </xf>
    <xf numFmtId="165" fontId="9" fillId="4" borderId="21" xfId="3" applyFont="1" applyFill="1" applyBorder="1" applyAlignment="1">
      <alignment horizontal="left" vertical="center" wrapText="1"/>
    </xf>
    <xf numFmtId="165" fontId="23" fillId="0" borderId="0" xfId="3" applyFont="1" applyAlignment="1">
      <alignment horizontal="left" vertical="center"/>
    </xf>
    <xf numFmtId="165" fontId="93" fillId="0" borderId="0" xfId="3" applyFont="1" applyAlignment="1">
      <alignment horizontal="left"/>
    </xf>
    <xf numFmtId="165" fontId="23" fillId="0" borderId="8" xfId="3" applyFont="1" applyBorder="1" applyAlignment="1">
      <alignment horizontal="left" vertical="center" wrapText="1"/>
    </xf>
    <xf numFmtId="165" fontId="23" fillId="2" borderId="7" xfId="3" applyFont="1" applyFill="1" applyBorder="1" applyAlignment="1">
      <alignment horizontal="left" vertical="center" wrapText="1"/>
    </xf>
    <xf numFmtId="165" fontId="23" fillId="0" borderId="10" xfId="3" applyFont="1" applyBorder="1" applyAlignment="1">
      <alignment horizontal="left" vertical="center" wrapText="1"/>
    </xf>
    <xf numFmtId="165" fontId="8" fillId="3" borderId="7" xfId="3" applyFont="1" applyFill="1" applyBorder="1" applyAlignment="1">
      <alignment horizontal="left" vertical="center" wrapText="1"/>
    </xf>
    <xf numFmtId="165" fontId="8" fillId="4" borderId="7" xfId="3" applyFont="1" applyFill="1" applyBorder="1" applyAlignment="1">
      <alignment horizontal="left" vertical="center" wrapText="1"/>
    </xf>
    <xf numFmtId="165" fontId="8" fillId="5" borderId="0" xfId="3" applyFont="1" applyFill="1" applyAlignment="1">
      <alignment horizontal="left" vertical="center"/>
    </xf>
    <xf numFmtId="165" fontId="1" fillId="3" borderId="1" xfId="3" applyFont="1" applyFill="1" applyBorder="1" applyAlignment="1">
      <alignment horizontal="left" vertical="center"/>
    </xf>
    <xf numFmtId="165" fontId="100" fillId="0" borderId="0" xfId="3" applyFont="1" applyAlignment="1">
      <alignment horizontal="left"/>
    </xf>
    <xf numFmtId="165" fontId="103" fillId="0" borderId="0" xfId="3" applyFont="1" applyFill="1" applyBorder="1" applyAlignment="1" applyProtection="1">
      <alignment horizontal="left" vertical="center"/>
    </xf>
    <xf numFmtId="165" fontId="84" fillId="0" borderId="0" xfId="3" applyFont="1" applyAlignment="1">
      <alignment horizontal="left" vertical="center" wrapText="1"/>
    </xf>
    <xf numFmtId="165" fontId="98" fillId="0" borderId="0" xfId="3" applyFont="1" applyAlignment="1">
      <alignment horizontal="left"/>
    </xf>
    <xf numFmtId="165" fontId="30" fillId="0" borderId="0" xfId="3" applyFont="1" applyAlignment="1">
      <alignment horizontal="left"/>
    </xf>
    <xf numFmtId="165" fontId="9" fillId="4" borderId="82" xfId="3" applyFont="1" applyFill="1" applyBorder="1" applyAlignment="1">
      <alignment horizontal="left" vertical="center" wrapText="1"/>
    </xf>
    <xf numFmtId="165" fontId="9" fillId="4" borderId="83" xfId="3" applyFont="1" applyFill="1" applyBorder="1" applyAlignment="1">
      <alignment horizontal="left" vertical="center" wrapText="1"/>
    </xf>
    <xf numFmtId="165" fontId="28" fillId="4" borderId="5" xfId="3" applyFont="1" applyFill="1" applyBorder="1" applyAlignment="1">
      <alignment horizontal="left" vertical="center" wrapText="1"/>
    </xf>
    <xf numFmtId="165" fontId="8" fillId="4" borderId="1" xfId="3" applyFont="1" applyFill="1" applyBorder="1" applyAlignment="1">
      <alignment horizontal="left" vertical="center" wrapText="1"/>
    </xf>
    <xf numFmtId="165" fontId="8" fillId="4" borderId="39" xfId="3" applyFont="1" applyFill="1" applyBorder="1" applyAlignment="1">
      <alignment horizontal="left" vertical="center" wrapText="1"/>
    </xf>
    <xf numFmtId="165" fontId="8" fillId="4" borderId="41" xfId="3" applyFont="1" applyFill="1" applyBorder="1" applyAlignment="1">
      <alignment horizontal="left" vertical="center" wrapText="1"/>
    </xf>
    <xf numFmtId="165" fontId="24" fillId="2" borderId="1" xfId="3" applyFont="1" applyFill="1" applyBorder="1" applyAlignment="1" applyProtection="1">
      <alignment horizontal="left" vertical="center" wrapText="1"/>
      <protection locked="0"/>
    </xf>
    <xf numFmtId="165" fontId="23" fillId="57" borderId="1" xfId="3" applyFont="1" applyFill="1" applyBorder="1" applyAlignment="1" applyProtection="1">
      <alignment horizontal="left" vertical="center" wrapText="1"/>
      <protection locked="0"/>
    </xf>
    <xf numFmtId="165" fontId="23" fillId="3" borderId="1" xfId="3" applyFont="1" applyFill="1" applyBorder="1" applyAlignment="1">
      <alignment horizontal="left" vertical="center" wrapText="1"/>
    </xf>
    <xf numFmtId="165" fontId="23" fillId="3" borderId="39" xfId="3" applyFont="1" applyFill="1" applyBorder="1" applyAlignment="1">
      <alignment horizontal="left" vertical="center" wrapText="1"/>
    </xf>
    <xf numFmtId="165" fontId="8" fillId="3" borderId="41" xfId="3" applyFont="1" applyFill="1" applyBorder="1" applyAlignment="1">
      <alignment horizontal="left" vertical="center"/>
    </xf>
    <xf numFmtId="165" fontId="23" fillId="3" borderId="99" xfId="3" applyFont="1" applyFill="1" applyBorder="1" applyAlignment="1">
      <alignment horizontal="left" vertical="center" wrapText="1"/>
    </xf>
    <xf numFmtId="165" fontId="8" fillId="3" borderId="100" xfId="3" applyFont="1" applyFill="1" applyBorder="1" applyAlignment="1">
      <alignment horizontal="left" vertical="center"/>
    </xf>
    <xf numFmtId="165" fontId="104" fillId="9" borderId="1" xfId="3" applyFont="1" applyFill="1" applyBorder="1" applyAlignment="1" applyProtection="1">
      <alignment horizontal="left" vertical="center" wrapText="1"/>
    </xf>
    <xf numFmtId="165" fontId="101" fillId="0" borderId="0" xfId="3" applyFont="1" applyAlignment="1">
      <alignment horizontal="left" vertical="center" wrapText="1"/>
    </xf>
    <xf numFmtId="165" fontId="23" fillId="3" borderId="54" xfId="3" applyFont="1" applyFill="1" applyBorder="1" applyAlignment="1">
      <alignment horizontal="left" vertical="center" wrapText="1"/>
    </xf>
    <xf numFmtId="165" fontId="23" fillId="3" borderId="55" xfId="3" applyFont="1" applyFill="1" applyBorder="1" applyAlignment="1">
      <alignment horizontal="left" vertical="center" wrapText="1"/>
    </xf>
    <xf numFmtId="165" fontId="23" fillId="3" borderId="56" xfId="3" applyFont="1" applyFill="1" applyBorder="1" applyAlignment="1">
      <alignment horizontal="left" vertical="center" wrapText="1"/>
    </xf>
    <xf numFmtId="165" fontId="121" fillId="2" borderId="1" xfId="3" applyFont="1" applyFill="1" applyBorder="1" applyAlignment="1" applyProtection="1">
      <alignment horizontal="left" vertical="center" wrapText="1"/>
      <protection locked="0"/>
    </xf>
    <xf numFmtId="165" fontId="25" fillId="3" borderId="1" xfId="3" applyFont="1" applyFill="1" applyBorder="1" applyAlignment="1">
      <alignment horizontal="left" vertical="center" wrapText="1"/>
    </xf>
    <xf numFmtId="165" fontId="0" fillId="0" borderId="0" xfId="3" applyFont="1" applyAlignment="1">
      <alignment horizontal="left"/>
    </xf>
    <xf numFmtId="165" fontId="101" fillId="0" borderId="0" xfId="3" applyFont="1" applyAlignment="1">
      <alignment horizontal="left" vertical="center"/>
    </xf>
    <xf numFmtId="165" fontId="20" fillId="0" borderId="0" xfId="3" applyFont="1" applyAlignment="1">
      <alignment horizontal="left" vertical="center"/>
    </xf>
    <xf numFmtId="165" fontId="25" fillId="2" borderId="1" xfId="3" applyFont="1" applyFill="1" applyBorder="1" applyAlignment="1" applyProtection="1">
      <alignment horizontal="left" vertical="center" wrapText="1"/>
      <protection locked="0"/>
    </xf>
    <xf numFmtId="165" fontId="95" fillId="0" borderId="0" xfId="3" applyFont="1" applyAlignment="1">
      <alignment horizontal="left"/>
    </xf>
    <xf numFmtId="165" fontId="25" fillId="57" borderId="1" xfId="3" applyFont="1" applyFill="1" applyBorder="1" applyAlignment="1" applyProtection="1">
      <alignment horizontal="left" vertical="center" wrapText="1"/>
      <protection locked="0"/>
    </xf>
    <xf numFmtId="165" fontId="23" fillId="3" borderId="53" xfId="3" applyFont="1" applyFill="1" applyBorder="1" applyAlignment="1">
      <alignment horizontal="left" vertical="center" wrapText="1"/>
    </xf>
    <xf numFmtId="165" fontId="22" fillId="0" borderId="0" xfId="3" applyFont="1" applyAlignment="1">
      <alignment horizontal="left"/>
    </xf>
    <xf numFmtId="165" fontId="8" fillId="4" borderId="1" xfId="3" applyFont="1" applyFill="1" applyBorder="1" applyAlignment="1">
      <alignment horizontal="left" vertical="center"/>
    </xf>
    <xf numFmtId="165" fontId="77" fillId="67" borderId="1" xfId="3" applyFont="1" applyFill="1" applyBorder="1" applyAlignment="1" applyProtection="1">
      <alignment horizontal="left" vertical="center" wrapText="1"/>
      <protection locked="0"/>
    </xf>
    <xf numFmtId="165" fontId="50" fillId="14" borderId="2" xfId="3" applyFont="1" applyFill="1" applyBorder="1" applyAlignment="1">
      <alignment horizontal="left" vertical="center" wrapText="1"/>
    </xf>
    <xf numFmtId="165" fontId="94" fillId="14" borderId="3" xfId="3" applyFont="1" applyFill="1" applyBorder="1" applyAlignment="1" applyProtection="1">
      <alignment horizontal="left" vertical="center"/>
      <protection locked="0"/>
    </xf>
    <xf numFmtId="165" fontId="28" fillId="4" borderId="82" xfId="3" applyFont="1" applyFill="1" applyBorder="1" applyAlignment="1">
      <alignment horizontal="left" vertical="center" wrapText="1"/>
    </xf>
    <xf numFmtId="165" fontId="28" fillId="4" borderId="83" xfId="3" applyFont="1" applyFill="1" applyBorder="1" applyAlignment="1">
      <alignment horizontal="left" vertical="center" wrapText="1"/>
    </xf>
    <xf numFmtId="165" fontId="28" fillId="4" borderId="6" xfId="3" applyFont="1" applyFill="1" applyBorder="1" applyAlignment="1">
      <alignment horizontal="left" vertical="center" wrapText="1"/>
    </xf>
    <xf numFmtId="165" fontId="28" fillId="4" borderId="99" xfId="3" applyFont="1" applyFill="1" applyBorder="1" applyAlignment="1">
      <alignment horizontal="left" vertical="center" wrapText="1"/>
    </xf>
    <xf numFmtId="165" fontId="28" fillId="4" borderId="100" xfId="3" applyFont="1" applyFill="1" applyBorder="1" applyAlignment="1">
      <alignment horizontal="left" vertical="center" wrapText="1"/>
    </xf>
    <xf numFmtId="165" fontId="23" fillId="2" borderId="1" xfId="3" applyFont="1" applyFill="1" applyBorder="1" applyAlignment="1" applyProtection="1">
      <alignment horizontal="left" vertical="center" wrapText="1"/>
      <protection locked="0"/>
    </xf>
    <xf numFmtId="165" fontId="23" fillId="70" borderId="2" xfId="3" applyFont="1" applyFill="1" applyBorder="1" applyAlignment="1">
      <alignment horizontal="left" vertical="center" wrapText="1"/>
    </xf>
    <xf numFmtId="165" fontId="8" fillId="3" borderId="39" xfId="3" applyFont="1" applyFill="1" applyBorder="1" applyAlignment="1">
      <alignment horizontal="left" vertical="center"/>
    </xf>
    <xf numFmtId="165" fontId="23" fillId="2" borderId="5" xfId="3" applyFont="1" applyFill="1" applyBorder="1" applyAlignment="1" applyProtection="1">
      <alignment horizontal="left" vertical="center" wrapText="1"/>
      <protection locked="0"/>
    </xf>
    <xf numFmtId="165" fontId="8" fillId="3" borderId="99" xfId="3" applyFont="1" applyFill="1" applyBorder="1" applyAlignment="1">
      <alignment horizontal="left" vertical="center"/>
    </xf>
    <xf numFmtId="165" fontId="8" fillId="3" borderId="56" xfId="3" applyFont="1" applyFill="1" applyBorder="1" applyAlignment="1">
      <alignment horizontal="left" vertical="center"/>
    </xf>
    <xf numFmtId="165" fontId="117" fillId="0" borderId="0" xfId="3" applyFont="1" applyAlignment="1">
      <alignment horizontal="left"/>
    </xf>
    <xf numFmtId="4" fontId="216" fillId="115" borderId="57" xfId="0" applyNumberFormat="1" applyFont="1" applyFill="1" applyBorder="1" applyAlignment="1">
      <alignment horizontal="center" vertical="center" wrapText="1"/>
    </xf>
    <xf numFmtId="165" fontId="1" fillId="4" borderId="43" xfId="3" applyFont="1" applyFill="1" applyBorder="1" applyAlignment="1">
      <alignment horizontal="left" vertical="center" wrapText="1"/>
    </xf>
    <xf numFmtId="165" fontId="1" fillId="4" borderId="5" xfId="3" applyFont="1" applyFill="1" applyBorder="1" applyAlignment="1">
      <alignment horizontal="left" vertical="center" wrapText="1"/>
    </xf>
    <xf numFmtId="165" fontId="1" fillId="4" borderId="54" xfId="3" applyFont="1" applyFill="1" applyBorder="1" applyAlignment="1">
      <alignment horizontal="left" vertical="center" wrapText="1"/>
    </xf>
    <xf numFmtId="165" fontId="8" fillId="3" borderId="55" xfId="3" applyFont="1" applyFill="1" applyBorder="1" applyAlignment="1">
      <alignment horizontal="left" vertical="center"/>
    </xf>
    <xf numFmtId="165" fontId="8" fillId="4" borderId="2" xfId="3" applyFont="1" applyFill="1" applyBorder="1" applyAlignment="1">
      <alignment horizontal="left" vertical="center" wrapText="1"/>
    </xf>
    <xf numFmtId="165" fontId="25" fillId="0" borderId="0" xfId="3" applyFont="1" applyAlignment="1">
      <alignment horizontal="left" vertical="center" wrapText="1"/>
    </xf>
    <xf numFmtId="165" fontId="23" fillId="4" borderId="5" xfId="3" applyFont="1" applyFill="1" applyBorder="1" applyAlignment="1">
      <alignment horizontal="left" vertical="center" wrapText="1"/>
    </xf>
    <xf numFmtId="165" fontId="1" fillId="4" borderId="39" xfId="3" applyFont="1" applyFill="1" applyBorder="1" applyAlignment="1">
      <alignment horizontal="left" vertical="center" wrapText="1"/>
    </xf>
    <xf numFmtId="165" fontId="1" fillId="4" borderId="41" xfId="3" applyFont="1" applyFill="1" applyBorder="1" applyAlignment="1">
      <alignment horizontal="left" vertical="center" wrapText="1"/>
    </xf>
    <xf numFmtId="165" fontId="25" fillId="3" borderId="39" xfId="3" applyFont="1" applyFill="1" applyBorder="1" applyAlignment="1">
      <alignment horizontal="left" vertical="center" wrapText="1"/>
    </xf>
    <xf numFmtId="165" fontId="23" fillId="3" borderId="41" xfId="3" applyFont="1" applyFill="1" applyBorder="1" applyAlignment="1">
      <alignment horizontal="left" vertical="center" wrapText="1"/>
    </xf>
    <xf numFmtId="165" fontId="25" fillId="3" borderId="53" xfId="3" applyFont="1" applyFill="1" applyBorder="1" applyAlignment="1">
      <alignment horizontal="left" vertical="center" wrapText="1"/>
    </xf>
    <xf numFmtId="165" fontId="25" fillId="3" borderId="43" xfId="3" applyFont="1" applyFill="1" applyBorder="1" applyAlignment="1">
      <alignment horizontal="left" vertical="center" wrapText="1"/>
    </xf>
    <xf numFmtId="165" fontId="23" fillId="3" borderId="44" xfId="3" applyFont="1" applyFill="1" applyBorder="1" applyAlignment="1">
      <alignment horizontal="left" vertical="center" wrapText="1"/>
    </xf>
    <xf numFmtId="165" fontId="168" fillId="0" borderId="0" xfId="3" applyFont="1" applyAlignment="1">
      <alignment horizontal="left" vertical="center" wrapText="1"/>
    </xf>
    <xf numFmtId="165" fontId="1" fillId="2" borderId="2" xfId="3" applyFont="1" applyFill="1" applyBorder="1" applyAlignment="1" applyProtection="1">
      <protection locked="0"/>
    </xf>
    <xf numFmtId="165" fontId="28" fillId="4" borderId="1" xfId="3" applyFont="1" applyFill="1" applyBorder="1" applyAlignment="1">
      <alignment horizontal="left" vertical="center" wrapText="1"/>
    </xf>
    <xf numFmtId="165" fontId="1" fillId="0" borderId="0" xfId="3" applyFont="1" applyAlignment="1">
      <alignment horizontal="left" vertical="center" wrapText="1"/>
    </xf>
    <xf numFmtId="165" fontId="121" fillId="2" borderId="2" xfId="3" applyFont="1" applyFill="1" applyBorder="1" applyAlignment="1" applyProtection="1">
      <alignment horizontal="left" vertical="center" wrapText="1"/>
      <protection locked="0"/>
    </xf>
    <xf numFmtId="165" fontId="1" fillId="3" borderId="39" xfId="3" applyFont="1" applyFill="1" applyBorder="1" applyAlignment="1">
      <alignment horizontal="left" vertical="center"/>
    </xf>
    <xf numFmtId="165" fontId="1" fillId="3" borderId="41" xfId="3" applyFont="1" applyFill="1" applyBorder="1" applyAlignment="1">
      <alignment horizontal="left" vertical="center"/>
    </xf>
    <xf numFmtId="165" fontId="1" fillId="3" borderId="99" xfId="3" applyFont="1" applyFill="1" applyBorder="1" applyAlignment="1">
      <alignment horizontal="left" vertical="center"/>
    </xf>
    <xf numFmtId="165" fontId="1" fillId="3" borderId="100" xfId="3" applyFont="1" applyFill="1" applyBorder="1" applyAlignment="1">
      <alignment horizontal="left" vertical="center"/>
    </xf>
    <xf numFmtId="165" fontId="23" fillId="3" borderId="1" xfId="3" applyFont="1" applyFill="1" applyBorder="1" applyAlignment="1" applyProtection="1">
      <alignment horizontal="left" vertical="center" wrapText="1"/>
    </xf>
    <xf numFmtId="165" fontId="8" fillId="3" borderId="8" xfId="3" applyFont="1" applyFill="1" applyBorder="1" applyAlignment="1">
      <alignment horizontal="left" vertical="center" wrapText="1"/>
    </xf>
    <xf numFmtId="165" fontId="8" fillId="3" borderId="56" xfId="3" applyFont="1" applyFill="1" applyBorder="1" applyAlignment="1">
      <alignment horizontal="left" vertical="center" wrapText="1"/>
    </xf>
    <xf numFmtId="165" fontId="25" fillId="4" borderId="5" xfId="3" applyFont="1" applyFill="1" applyBorder="1" applyAlignment="1">
      <alignment horizontal="left" vertical="center" wrapText="1"/>
    </xf>
    <xf numFmtId="165" fontId="23" fillId="8" borderId="1" xfId="3" applyFont="1" applyFill="1" applyBorder="1" applyAlignment="1" applyProtection="1">
      <alignment horizontal="left" vertical="center"/>
    </xf>
    <xf numFmtId="165" fontId="23" fillId="4" borderId="35" xfId="3" applyFont="1" applyFill="1" applyBorder="1" applyAlignment="1">
      <alignment horizontal="left" vertical="center" wrapText="1"/>
    </xf>
    <xf numFmtId="165" fontId="118" fillId="108" borderId="1" xfId="3" applyFont="1" applyFill="1" applyBorder="1" applyAlignment="1" applyProtection="1">
      <alignment horizontal="left"/>
      <protection locked="0"/>
    </xf>
    <xf numFmtId="165" fontId="25" fillId="3" borderId="96" xfId="3" applyFont="1" applyFill="1" applyBorder="1" applyAlignment="1">
      <alignment horizontal="left" vertical="center" wrapText="1"/>
    </xf>
    <xf numFmtId="165" fontId="8" fillId="3" borderId="21" xfId="3" applyFont="1" applyFill="1" applyBorder="1" applyAlignment="1">
      <alignment horizontal="left" vertical="center" wrapText="1"/>
    </xf>
    <xf numFmtId="165" fontId="8" fillId="3" borderId="45" xfId="3" applyFont="1" applyFill="1" applyBorder="1" applyAlignment="1">
      <alignment horizontal="left" vertical="center" wrapText="1"/>
    </xf>
    <xf numFmtId="165" fontId="9" fillId="4" borderId="14" xfId="3" applyFont="1" applyFill="1" applyBorder="1" applyAlignment="1">
      <alignment horizontal="left" vertical="center" wrapText="1"/>
    </xf>
    <xf numFmtId="165" fontId="171" fillId="0" borderId="0" xfId="3" applyFont="1" applyAlignment="1">
      <alignment horizontal="left"/>
    </xf>
    <xf numFmtId="165" fontId="14" fillId="4" borderId="1" xfId="3" applyFont="1" applyFill="1" applyBorder="1" applyAlignment="1">
      <alignment horizontal="left" vertical="center" wrapText="1"/>
    </xf>
    <xf numFmtId="165" fontId="6" fillId="4" borderId="1" xfId="3" applyFont="1" applyFill="1" applyBorder="1" applyAlignment="1">
      <alignment horizontal="left" vertical="center" wrapText="1"/>
    </xf>
    <xf numFmtId="165" fontId="6" fillId="4" borderId="2" xfId="3" applyFont="1" applyFill="1" applyBorder="1" applyAlignment="1">
      <alignment horizontal="left" vertical="center" wrapText="1"/>
    </xf>
    <xf numFmtId="165" fontId="6" fillId="4" borderId="95" xfId="3" applyFont="1" applyFill="1" applyBorder="1" applyAlignment="1">
      <alignment horizontal="left" vertical="center" wrapText="1"/>
    </xf>
    <xf numFmtId="165" fontId="0" fillId="0" borderId="0" xfId="3" applyFont="1" applyAlignment="1">
      <alignment horizontal="left" wrapText="1"/>
    </xf>
    <xf numFmtId="165" fontId="16" fillId="0" borderId="0" xfId="3" applyFont="1" applyAlignment="1">
      <alignment horizontal="left" wrapText="1"/>
    </xf>
    <xf numFmtId="165" fontId="78" fillId="67" borderId="2" xfId="3" applyFont="1" applyFill="1" applyBorder="1" applyAlignment="1" applyProtection="1">
      <alignment horizontal="left" vertical="center"/>
      <protection locked="0"/>
    </xf>
    <xf numFmtId="165" fontId="0" fillId="3" borderId="1" xfId="3" applyFont="1" applyFill="1" applyBorder="1" applyAlignment="1">
      <alignment horizontal="left" vertical="center"/>
    </xf>
    <xf numFmtId="165" fontId="0" fillId="3" borderId="96" xfId="3" applyFont="1" applyFill="1" applyBorder="1" applyAlignment="1">
      <alignment horizontal="left" vertical="center"/>
    </xf>
    <xf numFmtId="165" fontId="10" fillId="0" borderId="0" xfId="3" applyFont="1" applyAlignment="1">
      <alignment horizontal="left"/>
    </xf>
    <xf numFmtId="165" fontId="78" fillId="67" borderId="2" xfId="3" applyFont="1" applyFill="1" applyBorder="1" applyAlignment="1" applyProtection="1">
      <alignment horizontal="left"/>
      <protection locked="0"/>
    </xf>
    <xf numFmtId="165" fontId="78" fillId="67" borderId="2" xfId="3" applyFont="1" applyFill="1" applyBorder="1" applyAlignment="1" applyProtection="1">
      <alignment horizontal="left" wrapText="1"/>
      <protection locked="0"/>
    </xf>
    <xf numFmtId="165" fontId="78" fillId="67" borderId="1" xfId="3" applyFont="1" applyFill="1" applyBorder="1" applyAlignment="1" applyProtection="1">
      <alignment horizontal="left"/>
      <protection locked="0"/>
    </xf>
    <xf numFmtId="165" fontId="0" fillId="3" borderId="97" xfId="3" applyFont="1" applyFill="1" applyBorder="1" applyAlignment="1">
      <alignment horizontal="left" vertical="center"/>
    </xf>
    <xf numFmtId="165" fontId="17" fillId="0" borderId="0" xfId="3" applyFont="1" applyAlignment="1">
      <alignment horizontal="left"/>
    </xf>
    <xf numFmtId="165" fontId="84" fillId="5" borderId="0" xfId="3" applyFont="1" applyFill="1" applyAlignment="1">
      <alignment horizontal="left"/>
    </xf>
    <xf numFmtId="165" fontId="9" fillId="4" borderId="2" xfId="3" applyFont="1" applyFill="1" applyBorder="1" applyAlignment="1">
      <alignment horizontal="left" vertical="center" wrapText="1"/>
    </xf>
    <xf numFmtId="165" fontId="9" fillId="4" borderId="77" xfId="3" applyFont="1" applyFill="1" applyBorder="1" applyAlignment="1">
      <alignment horizontal="left" vertical="center" wrapText="1"/>
    </xf>
    <xf numFmtId="165" fontId="9" fillId="4" borderId="4" xfId="3" applyFont="1" applyFill="1" applyBorder="1" applyAlignment="1">
      <alignment horizontal="left" vertical="center" wrapText="1"/>
    </xf>
    <xf numFmtId="165" fontId="9" fillId="4" borderId="78" xfId="3" applyFont="1" applyFill="1" applyBorder="1" applyAlignment="1">
      <alignment horizontal="left" vertical="center" wrapText="1"/>
    </xf>
    <xf numFmtId="165" fontId="9" fillId="4" borderId="39" xfId="3" applyFont="1" applyFill="1" applyBorder="1" applyAlignment="1">
      <alignment horizontal="left" vertical="center" wrapText="1"/>
    </xf>
    <xf numFmtId="165" fontId="9" fillId="4" borderId="3" xfId="3" applyFont="1" applyFill="1" applyBorder="1" applyAlignment="1">
      <alignment horizontal="left" vertical="center" wrapText="1"/>
    </xf>
    <xf numFmtId="165" fontId="9" fillId="4" borderId="41" xfId="3" applyFont="1" applyFill="1" applyBorder="1" applyAlignment="1">
      <alignment horizontal="left" vertical="center" wrapText="1"/>
    </xf>
    <xf numFmtId="165" fontId="6" fillId="2" borderId="2" xfId="3" applyFont="1" applyFill="1" applyBorder="1" applyAlignment="1" applyProtection="1">
      <alignment horizontal="left" vertical="center" wrapText="1"/>
      <protection locked="0"/>
    </xf>
    <xf numFmtId="165" fontId="0" fillId="2" borderId="77" xfId="3" applyFont="1" applyFill="1" applyBorder="1" applyAlignment="1" applyProtection="1">
      <alignment horizontal="left" vertical="center" wrapText="1"/>
      <protection locked="0"/>
    </xf>
    <xf numFmtId="165" fontId="0" fillId="3" borderId="1" xfId="3" applyFont="1" applyFill="1" applyBorder="1" applyAlignment="1">
      <alignment horizontal="left" vertical="center" wrapText="1"/>
    </xf>
    <xf numFmtId="165" fontId="16" fillId="3" borderId="41" xfId="3" applyFont="1" applyFill="1" applyBorder="1" applyAlignment="1">
      <alignment horizontal="left" vertical="center" wrapText="1"/>
    </xf>
    <xf numFmtId="165" fontId="0" fillId="3" borderId="41" xfId="3" applyFont="1" applyFill="1" applyBorder="1" applyAlignment="1">
      <alignment horizontal="left" vertical="center" wrapText="1"/>
    </xf>
    <xf numFmtId="165" fontId="0" fillId="3" borderId="2" xfId="3" applyFont="1" applyFill="1" applyBorder="1" applyAlignment="1">
      <alignment horizontal="left" vertical="center" wrapText="1"/>
    </xf>
    <xf numFmtId="165" fontId="0" fillId="2" borderId="39" xfId="3" applyFont="1" applyFill="1" applyBorder="1" applyAlignment="1" applyProtection="1">
      <alignment horizontal="left" vertical="center" wrapText="1"/>
      <protection locked="0"/>
    </xf>
    <xf numFmtId="165" fontId="0" fillId="2" borderId="81" xfId="3" applyFont="1" applyFill="1" applyBorder="1" applyAlignment="1" applyProtection="1">
      <alignment horizontal="left" vertical="center" wrapText="1"/>
      <protection locked="0"/>
    </xf>
    <xf numFmtId="165" fontId="0" fillId="3" borderId="5" xfId="3" applyFont="1" applyFill="1" applyBorder="1" applyAlignment="1">
      <alignment horizontal="left" vertical="center" wrapText="1"/>
    </xf>
    <xf numFmtId="165" fontId="16" fillId="3" borderId="100" xfId="3" applyFont="1" applyFill="1" applyBorder="1" applyAlignment="1">
      <alignment horizontal="left" vertical="center" wrapText="1"/>
    </xf>
    <xf numFmtId="165" fontId="0" fillId="3" borderId="100" xfId="3" applyFont="1" applyFill="1" applyBorder="1" applyAlignment="1">
      <alignment horizontal="left" vertical="center" wrapText="1"/>
    </xf>
    <xf numFmtId="165" fontId="0" fillId="2" borderId="53" xfId="3" applyFont="1" applyFill="1" applyBorder="1" applyAlignment="1" applyProtection="1">
      <alignment horizontal="left" vertical="center" wrapText="1"/>
      <protection locked="0"/>
    </xf>
    <xf numFmtId="165" fontId="0" fillId="3" borderId="98" xfId="3" applyFont="1" applyFill="1" applyBorder="1" applyAlignment="1">
      <alignment horizontal="left" vertical="center" wrapText="1"/>
    </xf>
    <xf numFmtId="165" fontId="14" fillId="3" borderId="14" xfId="3" applyFont="1" applyFill="1" applyBorder="1" applyAlignment="1">
      <alignment horizontal="left"/>
    </xf>
    <xf numFmtId="165" fontId="9" fillId="0" borderId="0" xfId="3" applyFont="1" applyAlignment="1">
      <alignment horizontal="left" vertical="center" wrapText="1"/>
    </xf>
    <xf numFmtId="165" fontId="44" fillId="0" borderId="0" xfId="3" applyFont="1" applyAlignment="1">
      <alignment horizontal="left" vertical="center"/>
    </xf>
    <xf numFmtId="165" fontId="28" fillId="0" borderId="8" xfId="3" applyFont="1" applyBorder="1" applyAlignment="1">
      <alignment horizontal="left" vertical="center" wrapText="1"/>
    </xf>
    <xf numFmtId="165" fontId="28" fillId="2" borderId="7" xfId="3" applyFont="1" applyFill="1" applyBorder="1" applyAlignment="1">
      <alignment horizontal="left" vertical="center" wrapText="1"/>
    </xf>
    <xf numFmtId="165" fontId="28" fillId="0" borderId="10" xfId="3" applyFont="1" applyBorder="1" applyAlignment="1">
      <alignment horizontal="left" vertical="center" wrapText="1"/>
    </xf>
    <xf numFmtId="165" fontId="9" fillId="3" borderId="7" xfId="3" applyFont="1" applyFill="1" applyBorder="1" applyAlignment="1">
      <alignment horizontal="left" vertical="center" wrapText="1"/>
    </xf>
    <xf numFmtId="165" fontId="9" fillId="4" borderId="7" xfId="3" applyFont="1" applyFill="1" applyBorder="1" applyAlignment="1">
      <alignment horizontal="left" vertical="center" wrapText="1"/>
    </xf>
    <xf numFmtId="165" fontId="28" fillId="3" borderId="1" xfId="3" applyFont="1" applyFill="1" applyBorder="1" applyAlignment="1">
      <alignment horizontal="left" vertical="center" wrapText="1"/>
    </xf>
    <xf numFmtId="165" fontId="30" fillId="0" borderId="0" xfId="3" applyFont="1" applyAlignment="1">
      <alignment horizontal="left" vertical="center" wrapText="1"/>
    </xf>
    <xf numFmtId="165" fontId="30" fillId="0" borderId="0" xfId="3" applyFont="1" applyAlignment="1">
      <alignment horizontal="left" vertical="center"/>
    </xf>
    <xf numFmtId="165" fontId="30" fillId="4" borderId="1" xfId="3" applyFont="1" applyFill="1" applyBorder="1" applyAlignment="1">
      <alignment horizontal="left" vertical="center" wrapText="1"/>
    </xf>
    <xf numFmtId="165" fontId="30" fillId="2" borderId="1" xfId="3" applyFont="1" applyFill="1" applyBorder="1" applyAlignment="1" applyProtection="1">
      <alignment horizontal="left" vertical="center"/>
      <protection locked="0"/>
    </xf>
    <xf numFmtId="165" fontId="30" fillId="3" borderId="96" xfId="3" applyFont="1" applyFill="1" applyBorder="1" applyAlignment="1">
      <alignment horizontal="left" vertical="center"/>
    </xf>
    <xf numFmtId="165" fontId="9" fillId="4" borderId="2" xfId="3" applyFont="1" applyFill="1" applyBorder="1" applyAlignment="1">
      <alignment horizontal="left" vertical="center"/>
    </xf>
    <xf numFmtId="165" fontId="9" fillId="3" borderId="97" xfId="3" applyFont="1" applyFill="1" applyBorder="1" applyAlignment="1">
      <alignment horizontal="left" vertical="center"/>
    </xf>
    <xf numFmtId="165" fontId="30" fillId="3" borderId="97" xfId="3" applyFont="1" applyFill="1" applyBorder="1" applyAlignment="1">
      <alignment horizontal="left" vertical="center"/>
    </xf>
    <xf numFmtId="165" fontId="9" fillId="4" borderId="12" xfId="3" applyFont="1" applyFill="1" applyBorder="1" applyAlignment="1">
      <alignment horizontal="left" vertical="top" wrapText="1"/>
    </xf>
    <xf numFmtId="165" fontId="9" fillId="4" borderId="0" xfId="3" applyFont="1" applyFill="1" applyAlignment="1">
      <alignment horizontal="left" vertical="top" wrapText="1"/>
    </xf>
    <xf numFmtId="165" fontId="30" fillId="3" borderId="95" xfId="3" applyFont="1" applyFill="1" applyBorder="1" applyAlignment="1">
      <alignment horizontal="left" vertical="center"/>
    </xf>
    <xf numFmtId="165" fontId="30" fillId="2" borderId="5" xfId="3" applyFont="1" applyFill="1" applyBorder="1" applyAlignment="1" applyProtection="1">
      <alignment horizontal="left" vertical="center"/>
      <protection locked="0"/>
    </xf>
    <xf numFmtId="165" fontId="30" fillId="3" borderId="167" xfId="3" applyFont="1" applyFill="1" applyBorder="1" applyAlignment="1">
      <alignment horizontal="left" vertical="center"/>
    </xf>
    <xf numFmtId="165" fontId="30" fillId="0" borderId="0" xfId="3" applyFont="1" applyAlignment="1">
      <alignment horizontal="left" wrapText="1"/>
    </xf>
    <xf numFmtId="165" fontId="20" fillId="3" borderId="21" xfId="3" applyFont="1" applyFill="1" applyBorder="1" applyAlignment="1">
      <alignment horizontal="left" vertical="center"/>
    </xf>
    <xf numFmtId="165" fontId="20" fillId="3" borderId="45" xfId="3" applyFont="1" applyFill="1" applyBorder="1" applyAlignment="1">
      <alignment horizontal="left" vertical="center"/>
    </xf>
    <xf numFmtId="165" fontId="9" fillId="5" borderId="0" xfId="3" applyFont="1" applyFill="1" applyAlignment="1">
      <alignment horizontal="left" vertical="center"/>
    </xf>
    <xf numFmtId="165" fontId="9" fillId="3" borderId="1" xfId="3" applyFont="1" applyFill="1" applyBorder="1" applyAlignment="1">
      <alignment horizontal="left" vertical="center"/>
    </xf>
    <xf numFmtId="165" fontId="9" fillId="4" borderId="23" xfId="3" applyFont="1" applyFill="1" applyBorder="1" applyAlignment="1">
      <alignment horizontal="left" vertical="center" wrapText="1"/>
    </xf>
    <xf numFmtId="165" fontId="9" fillId="4" borderId="40" xfId="3" applyFont="1" applyFill="1" applyBorder="1" applyAlignment="1">
      <alignment horizontal="left" vertical="center" wrapText="1"/>
    </xf>
    <xf numFmtId="165" fontId="9" fillId="0" borderId="0" xfId="3" applyFont="1" applyAlignment="1">
      <alignment horizontal="left" vertical="center"/>
    </xf>
    <xf numFmtId="165" fontId="115" fillId="78" borderId="1" xfId="3" applyFont="1" applyFill="1" applyBorder="1" applyAlignment="1">
      <alignment horizontal="left" vertical="center" wrapText="1"/>
    </xf>
    <xf numFmtId="165" fontId="28" fillId="4" borderId="3" xfId="3" applyFont="1" applyFill="1" applyBorder="1" applyAlignment="1" applyProtection="1">
      <alignment horizontal="left" vertical="center" wrapText="1"/>
    </xf>
    <xf numFmtId="165" fontId="1" fillId="2" borderId="7" xfId="3" applyFont="1" applyFill="1" applyBorder="1" applyAlignment="1" applyProtection="1">
      <alignment horizontal="left"/>
      <protection locked="0"/>
    </xf>
    <xf numFmtId="165" fontId="1" fillId="3" borderId="7" xfId="3" applyFont="1" applyFill="1" applyBorder="1" applyAlignment="1">
      <alignment horizontal="left"/>
    </xf>
    <xf numFmtId="165" fontId="8" fillId="70" borderId="7" xfId="3" applyFont="1" applyFill="1" applyBorder="1" applyAlignment="1">
      <alignment horizontal="left"/>
    </xf>
    <xf numFmtId="165" fontId="1" fillId="3" borderId="1" xfId="3" applyFont="1" applyFill="1" applyBorder="1" applyAlignment="1" applyProtection="1">
      <alignment horizontal="left"/>
    </xf>
    <xf numFmtId="165" fontId="23" fillId="3" borderId="2" xfId="3" applyFont="1" applyFill="1" applyBorder="1" applyAlignment="1">
      <alignment horizontal="left" vertical="center" wrapText="1"/>
    </xf>
    <xf numFmtId="165" fontId="23" fillId="3" borderId="6" xfId="3" applyFont="1" applyFill="1" applyBorder="1" applyAlignment="1">
      <alignment horizontal="left" vertical="center" wrapText="1"/>
    </xf>
    <xf numFmtId="165" fontId="23" fillId="3" borderId="100" xfId="3" applyFont="1" applyFill="1" applyBorder="1" applyAlignment="1">
      <alignment horizontal="left" vertical="center" wrapText="1"/>
    </xf>
    <xf numFmtId="165" fontId="116" fillId="0" borderId="0" xfId="3" applyFont="1" applyAlignment="1">
      <alignment horizontal="left"/>
    </xf>
    <xf numFmtId="165" fontId="48" fillId="3" borderId="1" xfId="3" applyFont="1" applyFill="1" applyBorder="1" applyAlignment="1" applyProtection="1">
      <alignment horizontal="left"/>
    </xf>
    <xf numFmtId="165" fontId="23" fillId="3" borderId="5" xfId="3" applyFont="1" applyFill="1" applyBorder="1" applyAlignment="1">
      <alignment horizontal="left" vertical="center" wrapText="1"/>
    </xf>
    <xf numFmtId="165" fontId="117" fillId="0" borderId="0" xfId="3" applyFont="1" applyAlignment="1" applyProtection="1">
      <alignment horizontal="left"/>
      <protection locked="0"/>
    </xf>
    <xf numFmtId="165" fontId="17" fillId="0" borderId="0" xfId="3" applyFont="1" applyAlignment="1">
      <alignment horizontal="left" vertical="center" wrapText="1"/>
    </xf>
    <xf numFmtId="165" fontId="0" fillId="0" borderId="0" xfId="3" applyFont="1" applyAlignment="1">
      <alignment horizontal="left" vertical="center"/>
    </xf>
    <xf numFmtId="165" fontId="0" fillId="0" borderId="0" xfId="3" applyFont="1" applyFill="1" applyBorder="1" applyAlignment="1" applyProtection="1">
      <alignment horizontal="left"/>
    </xf>
    <xf numFmtId="165" fontId="11" fillId="0" borderId="8" xfId="3" applyFont="1" applyBorder="1" applyAlignment="1">
      <alignment horizontal="left" vertical="center" wrapText="1"/>
    </xf>
    <xf numFmtId="165" fontId="12" fillId="2" borderId="7" xfId="3" applyFont="1" applyFill="1" applyBorder="1" applyAlignment="1">
      <alignment horizontal="left" vertical="center" wrapText="1"/>
    </xf>
    <xf numFmtId="165" fontId="11" fillId="0" borderId="10" xfId="3" applyFont="1" applyBorder="1" applyAlignment="1">
      <alignment horizontal="left" vertical="center" wrapText="1"/>
    </xf>
    <xf numFmtId="165" fontId="6" fillId="3" borderId="7" xfId="3" applyFont="1" applyFill="1" applyBorder="1" applyAlignment="1">
      <alignment horizontal="left" vertical="center" wrapText="1"/>
    </xf>
    <xf numFmtId="165" fontId="6" fillId="4" borderId="7" xfId="3" applyFont="1" applyFill="1" applyBorder="1" applyAlignment="1">
      <alignment horizontal="left" vertical="center" wrapText="1"/>
    </xf>
    <xf numFmtId="165" fontId="98" fillId="0" borderId="0" xfId="3" applyFont="1" applyAlignment="1">
      <alignment horizontal="left" vertical="center" wrapText="1"/>
    </xf>
    <xf numFmtId="165" fontId="23" fillId="4" borderId="1" xfId="3" applyFont="1" applyFill="1" applyBorder="1" applyAlignment="1">
      <alignment horizontal="left" vertical="center" wrapText="1"/>
    </xf>
    <xf numFmtId="165" fontId="23" fillId="4" borderId="95" xfId="3" applyFont="1" applyFill="1" applyBorder="1" applyAlignment="1">
      <alignment horizontal="left" vertical="center" wrapText="1"/>
    </xf>
    <xf numFmtId="165" fontId="25" fillId="4" borderId="1" xfId="3" applyFont="1" applyFill="1" applyBorder="1" applyAlignment="1" applyProtection="1">
      <alignment horizontal="left" vertical="center" wrapText="1"/>
    </xf>
    <xf numFmtId="165" fontId="1" fillId="2" borderId="1" xfId="3" applyFont="1" applyFill="1" applyBorder="1" applyAlignment="1" applyProtection="1">
      <alignment horizontal="left" vertical="center"/>
      <protection locked="0"/>
    </xf>
    <xf numFmtId="165" fontId="8" fillId="3" borderId="96" xfId="3" applyFont="1" applyFill="1" applyBorder="1" applyAlignment="1" applyProtection="1">
      <alignment horizontal="left" vertical="center"/>
    </xf>
    <xf numFmtId="165" fontId="8" fillId="3" borderId="97" xfId="3" applyFont="1" applyFill="1" applyBorder="1" applyAlignment="1" applyProtection="1">
      <alignment horizontal="left" vertical="center"/>
    </xf>
    <xf numFmtId="165" fontId="6" fillId="0" borderId="0" xfId="3" applyFont="1" applyAlignment="1">
      <alignment horizontal="left"/>
    </xf>
    <xf numFmtId="165" fontId="69" fillId="0" borderId="0" xfId="3" applyFont="1" applyAlignment="1">
      <alignment horizontal="left"/>
    </xf>
    <xf numFmtId="165" fontId="8" fillId="0" borderId="0" xfId="3" applyFont="1" applyAlignment="1">
      <alignment horizontal="left"/>
    </xf>
    <xf numFmtId="165" fontId="8" fillId="5" borderId="0" xfId="3" applyFont="1" applyFill="1" applyAlignment="1">
      <alignment horizontal="left" vertical="center" wrapText="1"/>
    </xf>
    <xf numFmtId="165" fontId="93" fillId="0" borderId="0" xfId="3" applyFont="1" applyAlignment="1">
      <alignment horizontal="left" vertical="center" wrapText="1"/>
    </xf>
    <xf numFmtId="165" fontId="193" fillId="0" borderId="12" xfId="3" applyFont="1" applyBorder="1" applyAlignment="1">
      <alignment horizontal="left" vertical="center" wrapText="1"/>
    </xf>
    <xf numFmtId="165" fontId="193" fillId="0" borderId="0" xfId="3" applyFont="1" applyAlignment="1">
      <alignment horizontal="left" vertical="center" wrapText="1"/>
    </xf>
    <xf numFmtId="165" fontId="25" fillId="0" borderId="0" xfId="3" applyFont="1" applyFill="1" applyBorder="1" applyAlignment="1" applyProtection="1">
      <alignment horizontal="left" vertical="center"/>
    </xf>
    <xf numFmtId="165" fontId="98" fillId="0" borderId="0" xfId="3" applyFont="1" applyAlignment="1">
      <alignment horizontal="left" vertical="center"/>
    </xf>
    <xf numFmtId="165" fontId="8" fillId="0" borderId="8" xfId="3" applyFont="1" applyBorder="1" applyAlignment="1">
      <alignment horizontal="left"/>
    </xf>
    <xf numFmtId="165" fontId="71" fillId="73" borderId="95" xfId="3" applyFont="1" applyFill="1" applyBorder="1" applyAlignment="1" applyProtection="1">
      <alignment horizontal="left" vertical="center" wrapText="1"/>
    </xf>
    <xf numFmtId="165" fontId="71" fillId="73" borderId="3" xfId="3" applyFont="1" applyFill="1" applyBorder="1" applyAlignment="1" applyProtection="1">
      <alignment horizontal="left" vertical="center" wrapText="1"/>
    </xf>
    <xf numFmtId="165" fontId="71" fillId="73" borderId="4" xfId="3" applyFont="1" applyFill="1" applyBorder="1" applyAlignment="1" applyProtection="1">
      <alignment horizontal="left" vertical="center" wrapText="1"/>
    </xf>
    <xf numFmtId="165" fontId="71" fillId="73" borderId="96" xfId="3" applyFont="1" applyFill="1" applyBorder="1" applyAlignment="1" applyProtection="1">
      <alignment horizontal="left" vertical="center" wrapText="1"/>
    </xf>
    <xf numFmtId="165" fontId="1" fillId="2" borderId="2" xfId="3" applyFont="1" applyFill="1" applyBorder="1" applyAlignment="1" applyProtection="1">
      <alignment horizontal="left"/>
      <protection locked="0"/>
    </xf>
    <xf numFmtId="165" fontId="1" fillId="3" borderId="96" xfId="3" applyFont="1" applyFill="1" applyBorder="1" applyAlignment="1" applyProtection="1">
      <alignment horizontal="left"/>
    </xf>
    <xf numFmtId="165" fontId="71" fillId="73" borderId="39" xfId="3" applyFont="1" applyFill="1" applyBorder="1" applyAlignment="1" applyProtection="1">
      <alignment horizontal="left" vertical="center" wrapText="1"/>
    </xf>
    <xf numFmtId="165" fontId="71" fillId="73" borderId="41" xfId="3" applyFont="1" applyFill="1" applyBorder="1" applyAlignment="1" applyProtection="1">
      <alignment horizontal="left" vertical="center" wrapText="1"/>
    </xf>
    <xf numFmtId="165" fontId="1" fillId="2" borderId="39" xfId="3" applyFont="1" applyFill="1" applyBorder="1" applyAlignment="1" applyProtection="1">
      <alignment horizontal="left"/>
      <protection locked="0"/>
    </xf>
    <xf numFmtId="165" fontId="1" fillId="3" borderId="41" xfId="3" applyFont="1" applyFill="1" applyBorder="1" applyAlignment="1" applyProtection="1">
      <alignment horizontal="left"/>
    </xf>
    <xf numFmtId="165" fontId="23" fillId="70" borderId="39" xfId="3" applyFont="1" applyFill="1" applyBorder="1" applyAlignment="1">
      <alignment horizontal="left" vertical="center" wrapText="1"/>
    </xf>
    <xf numFmtId="165" fontId="1" fillId="2" borderId="0" xfId="3" applyFont="1" applyFill="1" applyBorder="1" applyAlignment="1" applyProtection="1">
      <alignment horizontal="left"/>
      <protection locked="0"/>
    </xf>
    <xf numFmtId="165" fontId="23" fillId="70" borderId="53" xfId="3" applyFont="1" applyFill="1" applyBorder="1" applyAlignment="1">
      <alignment horizontal="left" vertical="center" wrapText="1"/>
    </xf>
    <xf numFmtId="165" fontId="1" fillId="3" borderId="44" xfId="3" applyFont="1" applyFill="1" applyBorder="1" applyAlignment="1" applyProtection="1">
      <alignment horizontal="left"/>
    </xf>
    <xf numFmtId="165" fontId="118" fillId="0" borderId="0" xfId="3" applyFont="1" applyAlignment="1">
      <alignment horizontal="left"/>
    </xf>
    <xf numFmtId="165" fontId="2" fillId="0" borderId="0" xfId="3" applyFont="1" applyAlignment="1">
      <alignment horizontal="left"/>
    </xf>
    <xf numFmtId="165" fontId="118" fillId="81" borderId="1" xfId="3" applyFont="1" applyFill="1" applyBorder="1" applyAlignment="1">
      <alignment horizontal="left" vertical="center" wrapText="1"/>
    </xf>
    <xf numFmtId="165" fontId="118" fillId="57" borderId="1" xfId="3" applyFont="1" applyFill="1" applyBorder="1" applyAlignment="1">
      <alignment horizontal="left"/>
    </xf>
    <xf numFmtId="165" fontId="118" fillId="97" borderId="1" xfId="3" applyFont="1" applyFill="1" applyBorder="1" applyAlignment="1">
      <alignment horizontal="left"/>
    </xf>
    <xf numFmtId="165" fontId="118" fillId="57" borderId="5" xfId="3" applyFont="1" applyFill="1" applyBorder="1" applyAlignment="1">
      <alignment horizontal="left"/>
    </xf>
    <xf numFmtId="165" fontId="77" fillId="81" borderId="1" xfId="3" applyFont="1" applyFill="1" applyBorder="1" applyAlignment="1">
      <alignment horizontal="left" vertical="center" wrapText="1"/>
    </xf>
    <xf numFmtId="165" fontId="77" fillId="99" borderId="45" xfId="3" applyFont="1" applyFill="1" applyBorder="1" applyAlignment="1">
      <alignment horizontal="left" vertical="center"/>
    </xf>
    <xf numFmtId="165" fontId="118" fillId="0" borderId="0" xfId="3" applyFont="1" applyAlignment="1">
      <alignment horizontal="left" vertical="center" wrapText="1"/>
    </xf>
    <xf numFmtId="165" fontId="118" fillId="99" borderId="1" xfId="3" applyFont="1" applyFill="1" applyBorder="1" applyAlignment="1">
      <alignment horizontal="left" vertical="center"/>
    </xf>
    <xf numFmtId="165" fontId="170" fillId="0" borderId="0" xfId="3" applyFont="1" applyAlignment="1">
      <alignment horizontal="left"/>
    </xf>
    <xf numFmtId="165" fontId="118" fillId="99" borderId="1" xfId="3" applyFont="1" applyFill="1" applyBorder="1" applyAlignment="1">
      <alignment horizontal="left"/>
    </xf>
    <xf numFmtId="165" fontId="77" fillId="0" borderId="0" xfId="3" applyFont="1" applyAlignment="1">
      <alignment horizontal="left" vertical="center" wrapText="1"/>
    </xf>
    <xf numFmtId="165" fontId="77" fillId="81" borderId="54" xfId="3" applyFont="1" applyFill="1" applyBorder="1" applyAlignment="1">
      <alignment horizontal="left" vertical="center" wrapText="1"/>
    </xf>
    <xf numFmtId="165" fontId="170" fillId="0" borderId="0" xfId="3" applyFont="1" applyAlignment="1">
      <alignment horizontal="left" vertical="center" wrapText="1"/>
    </xf>
    <xf numFmtId="165" fontId="118" fillId="81" borderId="2" xfId="3" applyFont="1" applyFill="1" applyBorder="1" applyAlignment="1">
      <alignment horizontal="left" vertical="center" wrapText="1"/>
    </xf>
    <xf numFmtId="165" fontId="77" fillId="99" borderId="95" xfId="3" applyFont="1" applyFill="1" applyBorder="1" applyAlignment="1">
      <alignment horizontal="left" vertical="center"/>
    </xf>
    <xf numFmtId="165" fontId="77" fillId="99" borderId="96" xfId="3" applyFont="1" applyFill="1" applyBorder="1" applyAlignment="1">
      <alignment horizontal="left" vertical="center"/>
    </xf>
    <xf numFmtId="165" fontId="50" fillId="0" borderId="0" xfId="3" applyFont="1" applyAlignment="1">
      <alignment horizontal="left"/>
    </xf>
    <xf numFmtId="165" fontId="1" fillId="0" borderId="0" xfId="3" applyFont="1" applyAlignment="1" applyProtection="1">
      <alignment horizontal="left"/>
    </xf>
    <xf numFmtId="165" fontId="28" fillId="17" borderId="1" xfId="3" applyFont="1" applyFill="1" applyBorder="1" applyAlignment="1">
      <alignment horizontal="left" vertical="center" wrapText="1"/>
    </xf>
    <xf numFmtId="165" fontId="25" fillId="3" borderId="7" xfId="3" applyFont="1" applyFill="1" applyBorder="1" applyAlignment="1" applyProtection="1">
      <alignment horizontal="left" vertical="center" wrapText="1"/>
    </xf>
    <xf numFmtId="165" fontId="1" fillId="2" borderId="1" xfId="3" applyFont="1" applyFill="1" applyBorder="1" applyAlignment="1" applyProtection="1">
      <alignment horizontal="left"/>
      <protection locked="0"/>
    </xf>
    <xf numFmtId="165" fontId="1" fillId="2" borderId="5" xfId="3" applyFont="1" applyFill="1" applyBorder="1" applyAlignment="1" applyProtection="1">
      <alignment horizontal="left"/>
      <protection locked="0"/>
    </xf>
    <xf numFmtId="165" fontId="8" fillId="3" borderId="167" xfId="3" applyFont="1" applyFill="1" applyBorder="1" applyAlignment="1">
      <alignment horizontal="left" vertical="center"/>
    </xf>
    <xf numFmtId="165" fontId="118" fillId="12" borderId="0" xfId="3" applyFont="1" applyFill="1" applyAlignment="1">
      <alignment horizontal="left" vertical="center"/>
    </xf>
    <xf numFmtId="165" fontId="1" fillId="5" borderId="0" xfId="3" applyFont="1" applyFill="1" applyAlignment="1">
      <alignment horizontal="left" vertical="center"/>
    </xf>
    <xf numFmtId="165" fontId="8" fillId="3" borderId="54" xfId="3" applyFont="1" applyFill="1" applyBorder="1" applyAlignment="1">
      <alignment horizontal="left" vertical="center"/>
    </xf>
    <xf numFmtId="165" fontId="122" fillId="12" borderId="0" xfId="3" applyFont="1" applyFill="1" applyAlignment="1">
      <alignment horizontal="left" vertical="center"/>
    </xf>
    <xf numFmtId="165" fontId="121" fillId="11" borderId="1" xfId="3" applyFont="1" applyFill="1" applyBorder="1" applyAlignment="1">
      <alignment horizontal="left" vertical="center" wrapText="1"/>
    </xf>
    <xf numFmtId="165" fontId="121" fillId="19" borderId="1" xfId="3" applyFont="1" applyFill="1" applyBorder="1" applyAlignment="1" applyProtection="1">
      <alignment horizontal="left" vertical="center"/>
      <protection locked="0"/>
    </xf>
    <xf numFmtId="165" fontId="121" fillId="3" borderId="1" xfId="3" applyFont="1" applyFill="1" applyBorder="1" applyAlignment="1" applyProtection="1">
      <alignment horizontal="left" vertical="center"/>
    </xf>
    <xf numFmtId="165" fontId="1" fillId="3" borderId="96" xfId="3" applyFont="1" applyFill="1" applyBorder="1" applyAlignment="1">
      <alignment horizontal="left"/>
    </xf>
    <xf numFmtId="165" fontId="1" fillId="3" borderId="97" xfId="3" applyFont="1" applyFill="1" applyBorder="1" applyAlignment="1">
      <alignment horizontal="left"/>
    </xf>
    <xf numFmtId="165" fontId="204" fillId="0" borderId="0" xfId="3" applyFont="1" applyAlignment="1">
      <alignment horizontal="left"/>
    </xf>
    <xf numFmtId="165" fontId="1" fillId="11" borderId="1" xfId="3" applyFont="1" applyFill="1" applyBorder="1" applyAlignment="1">
      <alignment horizontal="left" vertical="center" wrapText="1"/>
    </xf>
    <xf numFmtId="165" fontId="8" fillId="3" borderId="96" xfId="3" applyFont="1" applyFill="1" applyBorder="1" applyAlignment="1">
      <alignment horizontal="left"/>
    </xf>
    <xf numFmtId="165" fontId="23" fillId="3" borderId="21" xfId="3" applyFont="1" applyFill="1" applyBorder="1" applyAlignment="1">
      <alignment horizontal="left" vertical="center" wrapText="1"/>
    </xf>
    <xf numFmtId="165" fontId="8" fillId="3" borderId="45" xfId="3" applyFont="1" applyFill="1" applyBorder="1" applyAlignment="1">
      <alignment horizontal="left" vertical="center"/>
    </xf>
    <xf numFmtId="165" fontId="9" fillId="7" borderId="1" xfId="3" applyFont="1" applyFill="1" applyBorder="1" applyAlignment="1">
      <alignment horizontal="left" vertical="center"/>
    </xf>
    <xf numFmtId="165" fontId="9" fillId="7" borderId="1" xfId="3" applyFont="1" applyFill="1" applyBorder="1" applyAlignment="1">
      <alignment horizontal="left" vertical="center" wrapText="1"/>
    </xf>
    <xf numFmtId="165" fontId="1" fillId="4" borderId="1" xfId="3" applyFont="1" applyFill="1" applyBorder="1" applyAlignment="1">
      <alignment horizontal="left" vertical="center"/>
    </xf>
    <xf numFmtId="165" fontId="96" fillId="0" borderId="0" xfId="3" applyFont="1" applyAlignment="1">
      <alignment horizontal="left"/>
    </xf>
    <xf numFmtId="165" fontId="23" fillId="3" borderId="1" xfId="3" applyFont="1" applyFill="1" applyBorder="1" applyAlignment="1">
      <alignment horizontal="left" vertical="center"/>
    </xf>
    <xf numFmtId="165" fontId="8" fillId="4" borderId="95" xfId="3" applyFont="1" applyFill="1" applyBorder="1" applyAlignment="1">
      <alignment horizontal="left" vertical="center" wrapText="1"/>
    </xf>
    <xf numFmtId="165" fontId="93" fillId="0" borderId="0" xfId="3" applyFont="1" applyAlignment="1">
      <alignment horizontal="left" wrapText="1"/>
    </xf>
    <xf numFmtId="165" fontId="1" fillId="3" borderId="1" xfId="3" applyFont="1" applyFill="1" applyBorder="1" applyAlignment="1">
      <alignment horizontal="left"/>
    </xf>
    <xf numFmtId="165" fontId="1" fillId="3" borderId="2" xfId="3" applyFont="1" applyFill="1" applyBorder="1" applyAlignment="1">
      <alignment horizontal="left" vertical="center" wrapText="1"/>
    </xf>
    <xf numFmtId="165" fontId="8" fillId="3" borderId="96" xfId="3" applyFont="1" applyFill="1" applyBorder="1" applyAlignment="1">
      <alignment horizontal="left" vertical="center" wrapText="1"/>
    </xf>
    <xf numFmtId="165" fontId="8" fillId="3" borderId="97" xfId="3" applyFont="1" applyFill="1" applyBorder="1" applyAlignment="1">
      <alignment horizontal="left" vertical="center" wrapText="1"/>
    </xf>
    <xf numFmtId="165" fontId="43" fillId="0" borderId="2" xfId="3" applyFont="1" applyBorder="1" applyAlignment="1">
      <alignment horizontal="left"/>
    </xf>
    <xf numFmtId="165" fontId="43" fillId="0" borderId="4" xfId="3" applyFont="1" applyBorder="1" applyAlignment="1">
      <alignment horizontal="left"/>
    </xf>
    <xf numFmtId="165" fontId="43" fillId="0" borderId="0" xfId="3" applyFont="1" applyAlignment="1">
      <alignment horizontal="left"/>
    </xf>
    <xf numFmtId="165" fontId="97" fillId="0" borderId="2" xfId="3" applyFont="1" applyBorder="1" applyAlignment="1">
      <alignment horizontal="left"/>
    </xf>
    <xf numFmtId="165" fontId="97" fillId="0" borderId="4" xfId="3" applyFont="1" applyBorder="1" applyAlignment="1">
      <alignment horizontal="left"/>
    </xf>
    <xf numFmtId="165" fontId="97" fillId="0" borderId="38" xfId="3" applyFont="1" applyBorder="1" applyAlignment="1">
      <alignment horizontal="left"/>
    </xf>
    <xf numFmtId="165" fontId="97" fillId="0" borderId="0" xfId="3" applyFont="1" applyAlignment="1">
      <alignment horizontal="left"/>
    </xf>
    <xf numFmtId="165" fontId="25" fillId="2" borderId="1" xfId="3" applyFont="1" applyFill="1" applyBorder="1" applyAlignment="1" applyProtection="1">
      <alignment horizontal="left"/>
      <protection locked="0"/>
    </xf>
    <xf numFmtId="165" fontId="25" fillId="2" borderId="1" xfId="3" applyFont="1" applyFill="1" applyBorder="1" applyAlignment="1" applyProtection="1">
      <alignment horizontal="left" vertical="center"/>
      <protection locked="0"/>
    </xf>
    <xf numFmtId="165" fontId="1" fillId="3" borderId="2" xfId="3" applyFont="1" applyFill="1" applyBorder="1" applyAlignment="1">
      <alignment horizontal="left"/>
    </xf>
    <xf numFmtId="165" fontId="8" fillId="3" borderId="97" xfId="3" applyFont="1" applyFill="1" applyBorder="1" applyAlignment="1">
      <alignment horizontal="left"/>
    </xf>
    <xf numFmtId="165" fontId="8" fillId="3" borderId="1" xfId="3" applyFont="1" applyFill="1" applyBorder="1" applyAlignment="1" applyProtection="1">
      <alignment horizontal="left"/>
    </xf>
    <xf numFmtId="165" fontId="1" fillId="0" borderId="0" xfId="3" applyFont="1" applyAlignment="1" applyProtection="1">
      <alignment horizontal="left" wrapText="1"/>
    </xf>
    <xf numFmtId="165" fontId="25" fillId="4" borderId="1" xfId="3" applyFont="1" applyFill="1" applyBorder="1" applyAlignment="1">
      <alignment horizontal="left" vertical="center"/>
    </xf>
    <xf numFmtId="165" fontId="23" fillId="2" borderId="2" xfId="3" applyFont="1" applyFill="1" applyBorder="1" applyAlignment="1" applyProtection="1">
      <alignment horizontal="left" vertical="center" wrapText="1"/>
      <protection locked="0"/>
    </xf>
    <xf numFmtId="165" fontId="8" fillId="70" borderId="39" xfId="3" applyFont="1" applyFill="1" applyBorder="1" applyAlignment="1">
      <alignment horizontal="left"/>
    </xf>
    <xf numFmtId="165" fontId="8" fillId="70" borderId="41" xfId="3" applyFont="1" applyFill="1" applyBorder="1" applyAlignment="1">
      <alignment horizontal="left" wrapText="1"/>
    </xf>
    <xf numFmtId="165" fontId="8" fillId="0" borderId="0" xfId="3" applyFont="1" applyFill="1" applyBorder="1" applyAlignment="1" applyProtection="1">
      <alignment horizontal="left"/>
    </xf>
    <xf numFmtId="165" fontId="25" fillId="0" borderId="0" xfId="3" applyFont="1" applyFill="1" applyBorder="1" applyAlignment="1" applyProtection="1">
      <alignment horizontal="left" vertical="center"/>
      <protection locked="0"/>
    </xf>
    <xf numFmtId="165" fontId="8" fillId="4" borderId="2" xfId="3" applyFont="1" applyFill="1" applyBorder="1" applyAlignment="1">
      <alignment horizontal="left"/>
    </xf>
    <xf numFmtId="165" fontId="8" fillId="3" borderId="37" xfId="3" applyFont="1" applyFill="1" applyBorder="1" applyAlignment="1">
      <alignment horizontal="left"/>
    </xf>
    <xf numFmtId="165" fontId="1" fillId="4" borderId="53" xfId="3" applyFont="1" applyFill="1" applyBorder="1" applyAlignment="1">
      <alignment horizontal="left" vertical="center" wrapText="1"/>
    </xf>
    <xf numFmtId="165" fontId="8" fillId="4" borderId="44" xfId="3" applyFont="1" applyFill="1" applyBorder="1" applyAlignment="1">
      <alignment horizontal="left" vertical="center" wrapText="1"/>
    </xf>
    <xf numFmtId="0" fontId="96" fillId="0" borderId="0" xfId="3" applyNumberFormat="1" applyFont="1" applyAlignment="1">
      <alignment horizontal="left" vertical="top"/>
    </xf>
    <xf numFmtId="165" fontId="96" fillId="0" borderId="0" xfId="3" applyFont="1" applyAlignment="1">
      <alignment horizontal="left" vertical="top"/>
    </xf>
    <xf numFmtId="165" fontId="25" fillId="4" borderId="2" xfId="3" applyFont="1" applyFill="1" applyBorder="1" applyAlignment="1">
      <alignment horizontal="left" vertical="center"/>
    </xf>
    <xf numFmtId="165" fontId="25" fillId="4" borderId="23" xfId="3" applyFont="1" applyFill="1" applyBorder="1" applyAlignment="1">
      <alignment horizontal="left" vertical="center" wrapText="1"/>
    </xf>
    <xf numFmtId="165" fontId="25" fillId="4" borderId="22" xfId="3" applyFont="1" applyFill="1" applyBorder="1" applyAlignment="1">
      <alignment horizontal="left" vertical="center" wrapText="1"/>
    </xf>
    <xf numFmtId="165" fontId="25" fillId="4" borderId="40" xfId="3" applyFont="1" applyFill="1" applyBorder="1" applyAlignment="1">
      <alignment horizontal="left" vertical="center" wrapText="1"/>
    </xf>
    <xf numFmtId="165" fontId="23" fillId="4" borderId="49" xfId="3" applyFont="1" applyFill="1" applyBorder="1" applyAlignment="1">
      <alignment horizontal="left" vertical="center" wrapText="1"/>
    </xf>
    <xf numFmtId="165" fontId="1" fillId="2" borderId="41" xfId="3" applyFont="1" applyFill="1" applyBorder="1" applyAlignment="1" applyProtection="1">
      <alignment horizontal="left"/>
      <protection locked="0"/>
    </xf>
    <xf numFmtId="165" fontId="8" fillId="3" borderId="78" xfId="3" applyFont="1" applyFill="1" applyBorder="1" applyAlignment="1">
      <alignment horizontal="left" vertical="center" wrapText="1"/>
    </xf>
    <xf numFmtId="165" fontId="1" fillId="2" borderId="53" xfId="3" applyFont="1" applyFill="1" applyBorder="1" applyAlignment="1" applyProtection="1">
      <alignment horizontal="left"/>
      <protection locked="0"/>
    </xf>
    <xf numFmtId="165" fontId="1" fillId="2" borderId="43" xfId="3" applyFont="1" applyFill="1" applyBorder="1" applyAlignment="1" applyProtection="1">
      <alignment horizontal="left"/>
      <protection locked="0"/>
    </xf>
    <xf numFmtId="165" fontId="1" fillId="2" borderId="44" xfId="3" applyFont="1" applyFill="1" applyBorder="1" applyAlignment="1" applyProtection="1">
      <alignment horizontal="left"/>
      <protection locked="0"/>
    </xf>
    <xf numFmtId="165" fontId="8" fillId="4" borderId="7" xfId="3" applyFont="1" applyFill="1" applyBorder="1" applyAlignment="1">
      <alignment horizontal="left"/>
    </xf>
    <xf numFmtId="165" fontId="8" fillId="3" borderId="138" xfId="3" applyFont="1" applyFill="1" applyBorder="1" applyAlignment="1">
      <alignment horizontal="left"/>
    </xf>
    <xf numFmtId="165" fontId="1" fillId="0" borderId="0" xfId="3" applyFont="1" applyAlignment="1">
      <alignment horizontal="left" wrapText="1"/>
    </xf>
    <xf numFmtId="165" fontId="1" fillId="3" borderId="1" xfId="3" applyFont="1" applyFill="1" applyBorder="1" applyAlignment="1">
      <alignment horizontal="left" vertical="center" wrapText="1"/>
    </xf>
    <xf numFmtId="165" fontId="25" fillId="4" borderId="2" xfId="3" applyFont="1" applyFill="1" applyBorder="1" applyAlignment="1">
      <alignment horizontal="left" vertical="center" wrapText="1"/>
    </xf>
    <xf numFmtId="165" fontId="25" fillId="4" borderId="4" xfId="3" applyFont="1" applyFill="1" applyBorder="1" applyAlignment="1">
      <alignment horizontal="left" vertical="center" wrapText="1"/>
    </xf>
    <xf numFmtId="165" fontId="14" fillId="73" borderId="14" xfId="3" applyFont="1" applyFill="1" applyBorder="1" applyAlignment="1">
      <alignment horizontal="left"/>
    </xf>
    <xf numFmtId="165" fontId="77" fillId="4" borderId="2" xfId="3" applyFont="1" applyFill="1" applyBorder="1" applyAlignment="1">
      <alignment horizontal="left" vertical="center" wrapText="1"/>
    </xf>
    <xf numFmtId="165" fontId="8" fillId="3" borderId="4" xfId="3" applyFont="1" applyFill="1" applyBorder="1" applyAlignment="1">
      <alignment horizontal="left"/>
    </xf>
    <xf numFmtId="165" fontId="210" fillId="9" borderId="14" xfId="3" applyFont="1" applyFill="1" applyBorder="1" applyAlignment="1">
      <alignment horizontal="left"/>
    </xf>
    <xf numFmtId="165" fontId="20" fillId="8" borderId="0" xfId="3" applyFont="1" applyFill="1" applyBorder="1" applyAlignment="1">
      <alignment horizontal="left" vertical="center" wrapText="1"/>
    </xf>
    <xf numFmtId="165" fontId="1" fillId="3" borderId="1" xfId="3" applyFont="1" applyFill="1" applyBorder="1" applyAlignment="1" applyProtection="1">
      <alignment horizontal="left" vertical="center"/>
    </xf>
    <xf numFmtId="165" fontId="1" fillId="3" borderId="7" xfId="3" applyFont="1" applyFill="1" applyBorder="1" applyAlignment="1">
      <alignment horizontal="left" vertical="center" wrapText="1"/>
    </xf>
    <xf numFmtId="165" fontId="23" fillId="3" borderId="96" xfId="3" applyFont="1" applyFill="1" applyBorder="1" applyAlignment="1">
      <alignment horizontal="left" vertical="center" wrapText="1"/>
    </xf>
    <xf numFmtId="165" fontId="20" fillId="8" borderId="38" xfId="3" applyFont="1" applyFill="1" applyBorder="1" applyAlignment="1">
      <alignment horizontal="left" vertical="center" wrapText="1"/>
    </xf>
    <xf numFmtId="165" fontId="23" fillId="4" borderId="2" xfId="3" applyFont="1" applyFill="1" applyBorder="1" applyAlignment="1">
      <alignment horizontal="left" vertical="center" wrapText="1"/>
    </xf>
    <xf numFmtId="165" fontId="23" fillId="70" borderId="1" xfId="3" applyFont="1" applyFill="1" applyBorder="1" applyAlignment="1">
      <alignment horizontal="left" vertical="center" wrapText="1"/>
    </xf>
    <xf numFmtId="165" fontId="1" fillId="3" borderId="2" xfId="3" applyFont="1" applyFill="1" applyBorder="1" applyAlignment="1" applyProtection="1">
      <alignment horizontal="left" vertical="center"/>
    </xf>
    <xf numFmtId="165" fontId="25" fillId="3" borderId="97" xfId="3" applyFont="1" applyFill="1" applyBorder="1" applyAlignment="1">
      <alignment horizontal="left" vertical="center"/>
    </xf>
    <xf numFmtId="165" fontId="2" fillId="0" borderId="0" xfId="3" applyFont="1" applyAlignment="1" applyProtection="1">
      <alignment horizontal="left"/>
    </xf>
    <xf numFmtId="0" fontId="116" fillId="5" borderId="17" xfId="3" applyNumberFormat="1" applyFont="1" applyFill="1" applyBorder="1" applyAlignment="1">
      <alignment horizontal="left"/>
    </xf>
    <xf numFmtId="165" fontId="1" fillId="3" borderId="7" xfId="3" applyFont="1" applyFill="1" applyBorder="1" applyAlignment="1" applyProtection="1">
      <alignment horizontal="left" vertical="center"/>
    </xf>
    <xf numFmtId="165" fontId="25" fillId="17" borderId="1" xfId="3" applyFont="1" applyFill="1" applyBorder="1" applyAlignment="1">
      <alignment horizontal="left" vertical="center" wrapText="1"/>
    </xf>
    <xf numFmtId="165" fontId="1" fillId="4" borderId="2" xfId="3" applyFont="1" applyFill="1" applyBorder="1" applyAlignment="1">
      <alignment horizontal="left" vertical="center" wrapText="1"/>
    </xf>
    <xf numFmtId="165" fontId="1" fillId="4" borderId="2" xfId="3" applyFont="1" applyFill="1" applyBorder="1" applyAlignment="1">
      <alignment horizontal="left" vertical="center"/>
    </xf>
    <xf numFmtId="165" fontId="9" fillId="4" borderId="5" xfId="3" applyFont="1" applyFill="1" applyBorder="1" applyAlignment="1">
      <alignment horizontal="left" vertical="center" wrapText="1"/>
    </xf>
    <xf numFmtId="165" fontId="1" fillId="3" borderId="5" xfId="3" applyFont="1" applyFill="1" applyBorder="1" applyAlignment="1">
      <alignment horizontal="left" vertical="center"/>
    </xf>
    <xf numFmtId="165" fontId="9" fillId="4" borderId="54" xfId="3" applyFont="1" applyFill="1" applyBorder="1" applyAlignment="1">
      <alignment horizontal="left" vertical="center" wrapText="1"/>
    </xf>
    <xf numFmtId="165" fontId="110" fillId="5" borderId="0" xfId="3" applyFont="1" applyFill="1" applyAlignment="1" applyProtection="1">
      <alignment horizontal="left"/>
    </xf>
    <xf numFmtId="165" fontId="23" fillId="7" borderId="1" xfId="3" applyFont="1" applyFill="1" applyBorder="1" applyAlignment="1">
      <alignment horizontal="left" vertical="center" wrapText="1"/>
    </xf>
    <xf numFmtId="165" fontId="23" fillId="7" borderId="2" xfId="3" applyFont="1" applyFill="1" applyBorder="1" applyAlignment="1">
      <alignment horizontal="left" vertical="center" wrapText="1"/>
    </xf>
    <xf numFmtId="165" fontId="23" fillId="7" borderId="95" xfId="3" applyFont="1" applyFill="1" applyBorder="1" applyAlignment="1">
      <alignment horizontal="left" vertical="center" wrapText="1"/>
    </xf>
    <xf numFmtId="165" fontId="1" fillId="2" borderId="1" xfId="3" applyFont="1" applyFill="1" applyBorder="1" applyAlignment="1">
      <alignment horizontal="left"/>
    </xf>
    <xf numFmtId="165" fontId="1" fillId="2" borderId="2" xfId="3" applyFont="1" applyFill="1" applyBorder="1" applyAlignment="1">
      <alignment horizontal="left"/>
    </xf>
    <xf numFmtId="165" fontId="1" fillId="2" borderId="96" xfId="3" applyFont="1" applyFill="1" applyBorder="1" applyAlignment="1">
      <alignment horizontal="left"/>
    </xf>
    <xf numFmtId="165" fontId="25" fillId="4" borderId="1" xfId="3" applyFont="1" applyFill="1" applyBorder="1" applyAlignment="1">
      <alignment horizontal="left"/>
    </xf>
    <xf numFmtId="165" fontId="1" fillId="4" borderId="1" xfId="3" applyFont="1" applyFill="1" applyBorder="1" applyAlignment="1" applyProtection="1">
      <alignment horizontal="left"/>
    </xf>
    <xf numFmtId="165" fontId="14" fillId="4" borderId="14" xfId="3" applyFont="1" applyFill="1" applyBorder="1" applyAlignment="1">
      <alignment horizontal="left" vertical="center" wrapText="1"/>
    </xf>
    <xf numFmtId="165" fontId="71" fillId="4" borderId="1" xfId="3" applyFont="1" applyFill="1" applyBorder="1" applyAlignment="1">
      <alignment horizontal="left" vertical="center" wrapText="1"/>
    </xf>
    <xf numFmtId="165" fontId="93" fillId="0" borderId="0" xfId="3" applyFont="1" applyAlignment="1" applyProtection="1">
      <alignment horizontal="left"/>
    </xf>
    <xf numFmtId="165" fontId="24" fillId="0" borderId="0" xfId="3" applyFont="1" applyFill="1" applyBorder="1" applyAlignment="1" applyProtection="1">
      <alignment horizontal="left" vertical="center" wrapText="1"/>
    </xf>
    <xf numFmtId="165" fontId="97" fillId="0" borderId="6" xfId="3" applyFont="1" applyBorder="1" applyAlignment="1">
      <alignment horizontal="left"/>
    </xf>
    <xf numFmtId="165" fontId="28" fillId="73" borderId="1" xfId="3" applyFont="1" applyFill="1" applyBorder="1" applyAlignment="1">
      <alignment horizontal="left" vertical="center" wrapText="1"/>
    </xf>
    <xf numFmtId="165" fontId="9" fillId="73" borderId="1" xfId="3" applyFont="1" applyFill="1" applyBorder="1" applyAlignment="1">
      <alignment horizontal="left" vertical="center" wrapText="1"/>
    </xf>
    <xf numFmtId="165" fontId="28" fillId="73" borderId="3" xfId="3" applyFont="1" applyFill="1" applyBorder="1" applyAlignment="1" applyProtection="1">
      <alignment horizontal="left" vertical="center" wrapText="1"/>
    </xf>
    <xf numFmtId="165" fontId="115" fillId="74" borderId="2" xfId="3" applyFont="1" applyFill="1" applyBorder="1" applyAlignment="1">
      <alignment horizontal="left" vertical="center" wrapText="1"/>
    </xf>
    <xf numFmtId="165" fontId="28" fillId="73" borderId="95" xfId="3" applyFont="1" applyFill="1" applyBorder="1" applyAlignment="1" applyProtection="1">
      <alignment horizontal="left" vertical="center" wrapText="1"/>
    </xf>
    <xf numFmtId="165" fontId="25" fillId="3" borderId="1" xfId="3" applyFont="1" applyFill="1" applyBorder="1" applyAlignment="1">
      <alignment horizontal="left" vertical="center"/>
    </xf>
    <xf numFmtId="165" fontId="25" fillId="3" borderId="5" xfId="3" applyFont="1" applyFill="1" applyBorder="1" applyAlignment="1">
      <alignment horizontal="left" vertical="center" wrapText="1"/>
    </xf>
    <xf numFmtId="165" fontId="25" fillId="3" borderId="167" xfId="3" applyFont="1" applyFill="1" applyBorder="1" applyAlignment="1">
      <alignment horizontal="left" vertical="center" wrapText="1"/>
    </xf>
    <xf numFmtId="165" fontId="93" fillId="0" borderId="10" xfId="3" applyFont="1" applyBorder="1" applyAlignment="1">
      <alignment horizontal="left"/>
    </xf>
    <xf numFmtId="165" fontId="119" fillId="0" borderId="10" xfId="3" applyFont="1" applyBorder="1" applyAlignment="1">
      <alignment horizontal="left"/>
    </xf>
    <xf numFmtId="165" fontId="109" fillId="0" borderId="0" xfId="3" applyFont="1" applyAlignment="1">
      <alignment horizontal="left" vertical="center" wrapText="1"/>
    </xf>
    <xf numFmtId="165" fontId="211" fillId="109" borderId="57" xfId="3" applyFont="1" applyFill="1" applyBorder="1" applyAlignment="1">
      <alignment horizontal="left" vertical="center" wrapText="1"/>
    </xf>
    <xf numFmtId="165" fontId="211" fillId="109" borderId="57" xfId="3" applyFont="1" applyFill="1" applyBorder="1" applyAlignment="1">
      <alignment horizontal="left" vertical="center"/>
    </xf>
    <xf numFmtId="165" fontId="117" fillId="0" borderId="0" xfId="3" applyFont="1" applyAlignment="1">
      <alignment horizontal="left" vertical="center"/>
    </xf>
    <xf numFmtId="165" fontId="43" fillId="0" borderId="38" xfId="3" applyFont="1" applyBorder="1" applyAlignment="1">
      <alignment horizontal="left"/>
    </xf>
    <xf numFmtId="165" fontId="173" fillId="0" borderId="0" xfId="3" applyFont="1" applyAlignment="1">
      <alignment horizontal="left"/>
    </xf>
    <xf numFmtId="165" fontId="93" fillId="0" borderId="1" xfId="3" applyFont="1" applyBorder="1" applyAlignment="1">
      <alignment horizontal="left"/>
    </xf>
    <xf numFmtId="165" fontId="109" fillId="0" borderId="0" xfId="3" applyFont="1" applyAlignment="1">
      <alignment horizontal="left" vertical="center"/>
    </xf>
    <xf numFmtId="165" fontId="28" fillId="4" borderId="95" xfId="3" applyFont="1" applyFill="1" applyBorder="1" applyAlignment="1">
      <alignment horizontal="left" vertical="center" wrapText="1"/>
    </xf>
    <xf numFmtId="165" fontId="16" fillId="5" borderId="0" xfId="3" applyFont="1" applyFill="1" applyAlignment="1">
      <alignment horizontal="left"/>
    </xf>
    <xf numFmtId="165" fontId="16" fillId="0" borderId="0" xfId="3" applyFont="1" applyAlignment="1">
      <alignment horizontal="left"/>
    </xf>
    <xf numFmtId="165" fontId="11" fillId="0" borderId="0" xfId="3" applyFont="1" applyAlignment="1">
      <alignment horizontal="left" vertical="center" wrapText="1"/>
    </xf>
    <xf numFmtId="165" fontId="12" fillId="0" borderId="0" xfId="3" applyFont="1" applyAlignment="1">
      <alignment horizontal="left" vertical="center" wrapText="1"/>
    </xf>
    <xf numFmtId="165" fontId="0" fillId="0" borderId="0" xfId="3" applyFont="1" applyAlignment="1">
      <alignment horizontal="left" vertical="center" wrapText="1"/>
    </xf>
    <xf numFmtId="165" fontId="30" fillId="3" borderId="1" xfId="3" applyFont="1" applyFill="1" applyBorder="1" applyAlignment="1">
      <alignment horizontal="left" vertical="center"/>
    </xf>
    <xf numFmtId="165" fontId="6" fillId="0" borderId="0" xfId="3" applyFont="1" applyAlignment="1">
      <alignment horizontal="left" vertical="center" wrapText="1"/>
    </xf>
    <xf numFmtId="165" fontId="9" fillId="55" borderId="14" xfId="3" applyFont="1" applyFill="1" applyBorder="1" applyAlignment="1">
      <alignment horizontal="left" vertical="center" wrapText="1"/>
    </xf>
    <xf numFmtId="165" fontId="9" fillId="0" borderId="0" xfId="3" applyFont="1" applyAlignment="1">
      <alignment horizontal="left"/>
    </xf>
    <xf numFmtId="165" fontId="68" fillId="5" borderId="0" xfId="3" applyFont="1" applyFill="1" applyAlignment="1">
      <alignment horizontal="left" wrapText="1"/>
    </xf>
    <xf numFmtId="165" fontId="11" fillId="17" borderId="1" xfId="3" applyFont="1" applyFill="1" applyBorder="1" applyAlignment="1">
      <alignment horizontal="left" vertical="center" wrapText="1"/>
    </xf>
    <xf numFmtId="165" fontId="13" fillId="4" borderId="1" xfId="3" applyFont="1" applyFill="1" applyBorder="1" applyAlignment="1">
      <alignment horizontal="left" vertical="center" wrapText="1"/>
    </xf>
    <xf numFmtId="165" fontId="0" fillId="2" borderId="1" xfId="3" applyFont="1" applyFill="1" applyBorder="1" applyAlignment="1" applyProtection="1">
      <alignment horizontal="left" vertical="center" wrapText="1"/>
      <protection locked="0"/>
    </xf>
    <xf numFmtId="165" fontId="120" fillId="18" borderId="1" xfId="3" applyFont="1" applyFill="1" applyBorder="1" applyAlignment="1" applyProtection="1">
      <alignment horizontal="left"/>
      <protection locked="0"/>
    </xf>
    <xf numFmtId="165" fontId="16" fillId="3" borderId="1" xfId="3" applyFont="1" applyFill="1" applyBorder="1" applyAlignment="1">
      <alignment horizontal="left" vertical="center" wrapText="1"/>
    </xf>
    <xf numFmtId="165" fontId="69" fillId="3" borderId="96" xfId="3" applyFont="1" applyFill="1" applyBorder="1" applyAlignment="1">
      <alignment horizontal="left"/>
    </xf>
    <xf numFmtId="165" fontId="69" fillId="3" borderId="97" xfId="3" applyFont="1" applyFill="1" applyBorder="1" applyAlignment="1">
      <alignment horizontal="left"/>
    </xf>
    <xf numFmtId="165" fontId="9" fillId="4" borderId="14" xfId="3" applyFont="1" applyFill="1" applyBorder="1" applyAlignment="1">
      <alignment horizontal="left" vertical="center"/>
    </xf>
    <xf numFmtId="165" fontId="23" fillId="3" borderId="7" xfId="3" applyFont="1" applyFill="1" applyBorder="1" applyAlignment="1">
      <alignment horizontal="left" vertical="center" wrapText="1"/>
    </xf>
    <xf numFmtId="165" fontId="23" fillId="4" borderId="7" xfId="3" applyFont="1" applyFill="1" applyBorder="1" applyAlignment="1">
      <alignment horizontal="left" vertical="center" wrapText="1"/>
    </xf>
    <xf numFmtId="165" fontId="107" fillId="0" borderId="0" xfId="3" applyFont="1" applyAlignment="1">
      <alignment horizontal="left"/>
    </xf>
    <xf numFmtId="165" fontId="98" fillId="0" borderId="0" xfId="3" applyFont="1" applyAlignment="1">
      <alignment horizontal="left" wrapText="1"/>
    </xf>
    <xf numFmtId="165" fontId="84" fillId="0" borderId="0" xfId="3" applyFont="1" applyAlignment="1">
      <alignment horizontal="left"/>
    </xf>
    <xf numFmtId="165" fontId="84" fillId="0" borderId="0" xfId="3" applyFont="1" applyAlignment="1">
      <alignment horizontal="left" vertical="center"/>
    </xf>
    <xf numFmtId="165" fontId="1" fillId="2" borderId="1" xfId="3" applyFont="1" applyFill="1" applyBorder="1" applyAlignment="1" applyProtection="1">
      <alignment horizontal="left" vertical="center" wrapText="1"/>
      <protection locked="0"/>
    </xf>
    <xf numFmtId="165" fontId="23" fillId="3" borderId="97" xfId="3" applyFont="1" applyFill="1" applyBorder="1" applyAlignment="1">
      <alignment horizontal="left" vertical="center" wrapText="1"/>
    </xf>
    <xf numFmtId="165" fontId="94" fillId="0" borderId="0" xfId="3" applyFont="1" applyAlignment="1" applyProtection="1">
      <alignment horizontal="left"/>
    </xf>
    <xf numFmtId="165" fontId="79" fillId="0" borderId="0" xfId="3" applyFont="1" applyAlignment="1">
      <alignment horizontal="left"/>
    </xf>
    <xf numFmtId="165" fontId="99" fillId="0" borderId="0" xfId="3" applyFont="1" applyAlignment="1">
      <alignment horizontal="left"/>
    </xf>
    <xf numFmtId="165" fontId="99" fillId="0" borderId="0" xfId="3" applyFont="1" applyAlignment="1">
      <alignment horizontal="left" wrapText="1"/>
    </xf>
    <xf numFmtId="165" fontId="99" fillId="0" borderId="0" xfId="3" applyFont="1" applyAlignment="1">
      <alignment horizontal="left" vertical="center"/>
    </xf>
    <xf numFmtId="165" fontId="106" fillId="0" borderId="0" xfId="3" applyFont="1" applyAlignment="1">
      <alignment horizontal="left"/>
    </xf>
    <xf numFmtId="165" fontId="106" fillId="0" borderId="0" xfId="3" applyFont="1" applyAlignment="1">
      <alignment horizontal="left" vertical="center"/>
    </xf>
    <xf numFmtId="165" fontId="109" fillId="0" borderId="0" xfId="3" applyFont="1" applyAlignment="1">
      <alignment horizontal="left"/>
    </xf>
    <xf numFmtId="165" fontId="23" fillId="70" borderId="1" xfId="3" applyFont="1" applyFill="1" applyBorder="1" applyAlignment="1" applyProtection="1">
      <alignment horizontal="left" vertical="center" wrapText="1"/>
    </xf>
    <xf numFmtId="165" fontId="8" fillId="3" borderId="97" xfId="3" applyFont="1" applyFill="1" applyBorder="1" applyAlignment="1">
      <alignment horizontal="left" vertical="center"/>
    </xf>
    <xf numFmtId="165" fontId="8" fillId="0" borderId="0" xfId="3" applyFont="1" applyAlignment="1" applyProtection="1">
      <alignment horizontal="left"/>
    </xf>
    <xf numFmtId="165" fontId="104" fillId="9" borderId="5" xfId="3" applyFont="1" applyFill="1" applyBorder="1" applyAlignment="1" applyProtection="1">
      <alignment horizontal="left" vertical="center" wrapText="1"/>
    </xf>
    <xf numFmtId="165" fontId="20" fillId="0" borderId="0" xfId="3" applyFont="1" applyAlignment="1" applyProtection="1">
      <alignment horizontal="left"/>
    </xf>
    <xf numFmtId="165" fontId="107" fillId="0" borderId="0" xfId="3" applyFont="1" applyAlignment="1">
      <alignment horizontal="left" vertical="center"/>
    </xf>
    <xf numFmtId="165" fontId="15" fillId="0" borderId="0" xfId="3" applyFont="1" applyAlignment="1">
      <alignment horizontal="left"/>
    </xf>
    <xf numFmtId="165" fontId="13" fillId="3" borderId="7" xfId="3" applyFont="1" applyFill="1" applyBorder="1" applyAlignment="1">
      <alignment horizontal="left" vertical="center" wrapText="1"/>
    </xf>
    <xf numFmtId="165" fontId="13" fillId="4" borderId="7" xfId="3" applyFont="1" applyFill="1" applyBorder="1" applyAlignment="1">
      <alignment horizontal="left" vertical="center" wrapText="1"/>
    </xf>
    <xf numFmtId="165" fontId="13" fillId="0" borderId="0" xfId="3" applyFont="1" applyAlignment="1">
      <alignment horizontal="left" vertical="center" wrapText="1"/>
    </xf>
    <xf numFmtId="165" fontId="16" fillId="0" borderId="0" xfId="3" applyFont="1" applyAlignment="1">
      <alignment horizontal="left" vertical="center"/>
    </xf>
    <xf numFmtId="165" fontId="15" fillId="0" borderId="0" xfId="3" applyFont="1" applyAlignment="1">
      <alignment horizontal="left" vertical="center" wrapText="1"/>
    </xf>
    <xf numFmtId="165" fontId="72" fillId="0" borderId="38" xfId="3" applyFont="1" applyBorder="1" applyAlignment="1">
      <alignment horizontal="left" wrapText="1"/>
    </xf>
    <xf numFmtId="191" fontId="1" fillId="3" borderId="7" xfId="3" applyNumberFormat="1" applyFont="1" applyFill="1" applyBorder="1" applyAlignment="1">
      <alignment horizontal="left"/>
    </xf>
    <xf numFmtId="165" fontId="62" fillId="0" borderId="0" xfId="3" applyFont="1" applyAlignment="1">
      <alignment horizontal="left"/>
    </xf>
    <xf numFmtId="165" fontId="23" fillId="73" borderId="1" xfId="3" applyFont="1" applyFill="1" applyBorder="1" applyAlignment="1">
      <alignment horizontal="left" vertical="center" wrapText="1"/>
    </xf>
    <xf numFmtId="165" fontId="23" fillId="73" borderId="2" xfId="3" applyFont="1" applyFill="1" applyBorder="1" applyAlignment="1">
      <alignment horizontal="left" vertical="center" wrapText="1"/>
    </xf>
    <xf numFmtId="165" fontId="1" fillId="77" borderId="3" xfId="3" applyFont="1" applyFill="1" applyBorder="1" applyAlignment="1" applyProtection="1">
      <alignment horizontal="left"/>
      <protection locked="0"/>
    </xf>
    <xf numFmtId="165" fontId="8" fillId="8" borderId="1" xfId="3" applyFont="1" applyFill="1" applyBorder="1" applyAlignment="1">
      <alignment horizontal="left"/>
    </xf>
    <xf numFmtId="165" fontId="8" fillId="8" borderId="2" xfId="3" applyFont="1" applyFill="1" applyBorder="1" applyAlignment="1">
      <alignment horizontal="left"/>
    </xf>
    <xf numFmtId="165" fontId="1" fillId="62" borderId="1" xfId="3" applyFont="1" applyFill="1" applyBorder="1" applyAlignment="1" applyProtection="1">
      <alignment horizontal="left"/>
      <protection locked="0"/>
    </xf>
    <xf numFmtId="165" fontId="8" fillId="8" borderId="6" xfId="3" applyFont="1" applyFill="1" applyBorder="1" applyAlignment="1">
      <alignment horizontal="left"/>
    </xf>
    <xf numFmtId="165" fontId="8" fillId="3" borderId="167" xfId="3" applyFont="1" applyFill="1" applyBorder="1" applyAlignment="1">
      <alignment horizontal="left"/>
    </xf>
    <xf numFmtId="165" fontId="8" fillId="3" borderId="14" xfId="3" applyFont="1" applyFill="1" applyBorder="1" applyAlignment="1">
      <alignment horizontal="left"/>
    </xf>
    <xf numFmtId="165" fontId="25" fillId="0" borderId="38" xfId="3" applyFont="1" applyBorder="1" applyAlignment="1">
      <alignment horizontal="left" wrapText="1"/>
    </xf>
    <xf numFmtId="165" fontId="23" fillId="73" borderId="95" xfId="3" applyFont="1" applyFill="1" applyBorder="1" applyAlignment="1">
      <alignment horizontal="left" vertical="center" wrapText="1"/>
    </xf>
    <xf numFmtId="165" fontId="8" fillId="3" borderId="97" xfId="3" applyFont="1" applyFill="1" applyBorder="1" applyAlignment="1" applyProtection="1">
      <alignment horizontal="left"/>
    </xf>
    <xf numFmtId="165" fontId="1" fillId="3" borderId="2" xfId="3" applyFont="1" applyFill="1" applyBorder="1" applyAlignment="1">
      <alignment horizontal="left" vertical="center"/>
    </xf>
    <xf numFmtId="165" fontId="8" fillId="0" borderId="1" xfId="3" applyFont="1" applyBorder="1" applyAlignment="1">
      <alignment horizontal="left" vertical="center" wrapText="1"/>
    </xf>
    <xf numFmtId="165" fontId="8" fillId="3" borderId="1" xfId="3" applyFont="1" applyFill="1" applyBorder="1" applyAlignment="1">
      <alignment horizontal="left" vertical="center" wrapText="1"/>
    </xf>
    <xf numFmtId="165" fontId="8" fillId="3" borderId="1" xfId="3" applyFont="1" applyFill="1" applyBorder="1" applyAlignment="1">
      <alignment horizontal="left"/>
    </xf>
    <xf numFmtId="165" fontId="8" fillId="4" borderId="23" xfId="3" applyFont="1" applyFill="1" applyBorder="1" applyAlignment="1">
      <alignment horizontal="left" vertical="center" wrapText="1"/>
    </xf>
    <xf numFmtId="165" fontId="8" fillId="4" borderId="22" xfId="3" applyFont="1" applyFill="1" applyBorder="1" applyAlignment="1">
      <alignment horizontal="left" vertical="center" wrapText="1"/>
    </xf>
    <xf numFmtId="165" fontId="8" fillId="4" borderId="40" xfId="3" applyFont="1" applyFill="1" applyBorder="1" applyAlignment="1">
      <alignment horizontal="left" vertical="center" wrapText="1"/>
    </xf>
    <xf numFmtId="165" fontId="8" fillId="3" borderId="39" xfId="3" applyFont="1" applyFill="1" applyBorder="1" applyAlignment="1">
      <alignment horizontal="left" vertical="center" wrapText="1"/>
    </xf>
    <xf numFmtId="165" fontId="8" fillId="3" borderId="53" xfId="3" applyFont="1" applyFill="1" applyBorder="1" applyAlignment="1">
      <alignment horizontal="left" vertical="center" wrapText="1"/>
    </xf>
    <xf numFmtId="165" fontId="8" fillId="3" borderId="43" xfId="3" applyFont="1" applyFill="1" applyBorder="1" applyAlignment="1">
      <alignment horizontal="left" vertical="center"/>
    </xf>
    <xf numFmtId="165" fontId="8" fillId="3" borderId="44" xfId="3" applyFont="1" applyFill="1" applyBorder="1" applyAlignment="1">
      <alignment horizontal="left" vertical="center"/>
    </xf>
    <xf numFmtId="0" fontId="9" fillId="4" borderId="14" xfId="0" applyFont="1" applyFill="1" applyBorder="1" applyAlignment="1">
      <alignment vertical="center" wrapText="1"/>
    </xf>
    <xf numFmtId="0" fontId="23" fillId="0" borderId="8" xfId="0" applyFont="1" applyBorder="1" applyAlignment="1">
      <alignment vertical="center" wrapText="1"/>
    </xf>
    <xf numFmtId="0" fontId="23" fillId="2" borderId="7" xfId="0" applyFont="1" applyFill="1" applyBorder="1" applyAlignment="1">
      <alignment vertical="center" wrapText="1"/>
    </xf>
    <xf numFmtId="0" fontId="23" fillId="0" borderId="10" xfId="0" applyFont="1" applyBorder="1" applyAlignment="1">
      <alignment vertical="center" wrapText="1"/>
    </xf>
    <xf numFmtId="0" fontId="8" fillId="3" borderId="7" xfId="0" applyFont="1" applyFill="1" applyBorder="1" applyAlignment="1">
      <alignment vertical="center" wrapText="1"/>
    </xf>
    <xf numFmtId="0" fontId="9" fillId="4" borderId="1" xfId="0" applyFont="1" applyFill="1" applyBorder="1" applyAlignment="1">
      <alignment vertical="center" wrapText="1"/>
    </xf>
    <xf numFmtId="168" fontId="8" fillId="3" borderId="1" xfId="0" applyNumberFormat="1" applyFont="1" applyFill="1" applyBorder="1" applyAlignment="1">
      <alignment vertical="center"/>
    </xf>
    <xf numFmtId="0" fontId="20" fillId="0" borderId="0" xfId="0" applyFont="1"/>
    <xf numFmtId="4" fontId="98" fillId="0" borderId="0" xfId="0" applyNumberFormat="1" applyFont="1" applyAlignment="1">
      <alignment vertical="center" wrapText="1"/>
    </xf>
    <xf numFmtId="0" fontId="8" fillId="4" borderId="1" xfId="0" applyFont="1" applyFill="1" applyBorder="1" applyAlignment="1">
      <alignment vertical="center"/>
    </xf>
    <xf numFmtId="0" fontId="8" fillId="4" borderId="1" xfId="0" applyFont="1" applyFill="1" applyBorder="1" applyAlignment="1">
      <alignment vertical="center" wrapText="1"/>
    </xf>
    <xf numFmtId="0" fontId="8" fillId="4" borderId="2" xfId="0" applyFont="1" applyFill="1" applyBorder="1" applyAlignment="1">
      <alignment vertical="center" wrapText="1"/>
    </xf>
    <xf numFmtId="0" fontId="8" fillId="4" borderId="95" xfId="0" applyFont="1" applyFill="1" applyBorder="1" applyAlignment="1">
      <alignment vertical="center" wrapText="1"/>
    </xf>
    <xf numFmtId="0" fontId="1" fillId="0" borderId="0" xfId="0" applyFont="1" applyAlignment="1">
      <alignment vertical="center" wrapText="1"/>
    </xf>
    <xf numFmtId="0" fontId="1" fillId="2" borderId="7" xfId="0" applyFont="1" applyFill="1" applyBorder="1" applyProtection="1">
      <protection locked="0"/>
    </xf>
    <xf numFmtId="0" fontId="1" fillId="2" borderId="1" xfId="0" applyFont="1" applyFill="1" applyBorder="1" applyProtection="1">
      <protection locked="0"/>
    </xf>
    <xf numFmtId="167" fontId="1" fillId="2" borderId="1" xfId="3" applyNumberFormat="1" applyFont="1" applyFill="1" applyBorder="1" applyAlignment="1" applyProtection="1">
      <protection locked="0"/>
    </xf>
    <xf numFmtId="167" fontId="1" fillId="3" borderId="1" xfId="3" applyNumberFormat="1" applyFont="1" applyFill="1" applyBorder="1" applyAlignment="1" applyProtection="1"/>
    <xf numFmtId="168" fontId="1" fillId="3" borderId="1" xfId="3" applyNumberFormat="1" applyFont="1" applyFill="1" applyBorder="1" applyAlignment="1" applyProtection="1"/>
    <xf numFmtId="168" fontId="1" fillId="3" borderId="1" xfId="0" applyNumberFormat="1" applyFont="1" applyFill="1" applyBorder="1"/>
    <xf numFmtId="174" fontId="1" fillId="2" borderId="102" xfId="6" applyNumberFormat="1" applyFont="1" applyFill="1" applyBorder="1" applyAlignment="1" applyProtection="1"/>
    <xf numFmtId="168" fontId="8" fillId="3" borderId="103" xfId="3" applyNumberFormat="1" applyFont="1" applyFill="1" applyBorder="1" applyAlignment="1" applyProtection="1"/>
    <xf numFmtId="168" fontId="8" fillId="3" borderId="104" xfId="3" applyNumberFormat="1" applyFont="1" applyFill="1" applyBorder="1" applyAlignment="1" applyProtection="1"/>
    <xf numFmtId="0" fontId="98" fillId="0" borderId="0" xfId="0" applyFont="1"/>
    <xf numFmtId="167" fontId="1" fillId="13" borderId="1" xfId="3" applyNumberFormat="1" applyFont="1" applyFill="1" applyBorder="1" applyAlignment="1" applyProtection="1"/>
    <xf numFmtId="178" fontId="1" fillId="13" borderId="1" xfId="0" applyNumberFormat="1" applyFont="1" applyFill="1" applyBorder="1"/>
    <xf numFmtId="0" fontId="1" fillId="13" borderId="3" xfId="0" applyFont="1" applyFill="1" applyBorder="1"/>
    <xf numFmtId="165" fontId="1" fillId="13" borderId="2" xfId="3" applyFont="1" applyFill="1" applyBorder="1" applyAlignment="1" applyProtection="1"/>
    <xf numFmtId="9" fontId="1" fillId="9" borderId="2" xfId="3" applyNumberFormat="1" applyFont="1" applyFill="1" applyBorder="1" applyAlignment="1" applyProtection="1"/>
    <xf numFmtId="167" fontId="1" fillId="14" borderId="1" xfId="3" applyNumberFormat="1" applyFont="1" applyFill="1" applyBorder="1" applyAlignment="1" applyProtection="1"/>
    <xf numFmtId="168" fontId="1" fillId="14" borderId="1" xfId="3" applyNumberFormat="1" applyFont="1" applyFill="1" applyBorder="1" applyAlignment="1" applyProtection="1"/>
    <xf numFmtId="168" fontId="1" fillId="14" borderId="1" xfId="0" applyNumberFormat="1" applyFont="1" applyFill="1" applyBorder="1"/>
    <xf numFmtId="0" fontId="1" fillId="9" borderId="0" xfId="0" applyFont="1" applyFill="1"/>
    <xf numFmtId="9" fontId="1" fillId="64" borderId="57" xfId="0" applyNumberFormat="1" applyFont="1" applyFill="1" applyBorder="1"/>
    <xf numFmtId="168" fontId="1" fillId="64" borderId="57" xfId="3" applyNumberFormat="1" applyFont="1" applyFill="1" applyBorder="1" applyAlignment="1" applyProtection="1"/>
    <xf numFmtId="0" fontId="1" fillId="0" borderId="57" xfId="0" applyFont="1" applyBorder="1"/>
    <xf numFmtId="167" fontId="1" fillId="0" borderId="0" xfId="0" applyNumberFormat="1" applyFont="1"/>
    <xf numFmtId="0" fontId="1" fillId="66" borderId="1" xfId="0" applyFont="1" applyFill="1" applyBorder="1"/>
    <xf numFmtId="167" fontId="1" fillId="66" borderId="1" xfId="0" applyNumberFormat="1" applyFont="1" applyFill="1" applyBorder="1"/>
    <xf numFmtId="167" fontId="1" fillId="66" borderId="7" xfId="0" applyNumberFormat="1" applyFont="1" applyFill="1" applyBorder="1"/>
    <xf numFmtId="168" fontId="8" fillId="9" borderId="1" xfId="3" applyNumberFormat="1" applyFont="1" applyFill="1" applyBorder="1" applyAlignment="1" applyProtection="1"/>
    <xf numFmtId="165" fontId="40" fillId="52" borderId="1" xfId="0" applyNumberFormat="1" applyFont="1" applyFill="1" applyBorder="1" applyAlignment="1">
      <alignment horizontal="right"/>
    </xf>
    <xf numFmtId="172" fontId="214" fillId="114" borderId="57" xfId="0" applyNumberFormat="1" applyFont="1" applyFill="1" applyBorder="1" applyAlignment="1">
      <alignment horizontal="right"/>
    </xf>
    <xf numFmtId="192" fontId="214" fillId="113" borderId="57" xfId="0" applyNumberFormat="1" applyFont="1" applyFill="1" applyBorder="1" applyAlignment="1">
      <alignment horizontal="right"/>
    </xf>
    <xf numFmtId="0" fontId="0" fillId="5" borderId="0" xfId="0" applyFill="1" applyAlignment="1">
      <alignment horizontal="left" vertical="top" wrapText="1"/>
    </xf>
    <xf numFmtId="165" fontId="118" fillId="0" borderId="0" xfId="3" applyFont="1" applyFill="1" applyAlignment="1">
      <alignment horizontal="left"/>
    </xf>
    <xf numFmtId="10" fontId="77" fillId="99" borderId="37" xfId="3" applyNumberFormat="1" applyFont="1" applyFill="1" applyBorder="1" applyAlignment="1">
      <alignment horizontal="left" vertical="center"/>
    </xf>
    <xf numFmtId="0" fontId="1" fillId="5" borderId="40" xfId="0" applyFont="1" applyFill="1" applyBorder="1" applyAlignment="1">
      <alignment wrapText="1"/>
    </xf>
    <xf numFmtId="0" fontId="1" fillId="5" borderId="44" xfId="0" applyFont="1" applyFill="1" applyBorder="1" applyAlignment="1">
      <alignment vertical="center" wrapText="1"/>
    </xf>
    <xf numFmtId="0" fontId="8" fillId="16" borderId="23" xfId="0" applyFont="1" applyFill="1" applyBorder="1" applyAlignment="1">
      <alignment horizontal="left" vertical="center" wrapText="1" indent="1"/>
    </xf>
    <xf numFmtId="0" fontId="8" fillId="16" borderId="39" xfId="0" applyFont="1" applyFill="1" applyBorder="1" applyAlignment="1">
      <alignment horizontal="left" vertical="center" indent="1"/>
    </xf>
    <xf numFmtId="0" fontId="8" fillId="16" borderId="53" xfId="0" applyFont="1" applyFill="1" applyBorder="1" applyAlignment="1">
      <alignment horizontal="left" vertical="center" indent="1"/>
    </xf>
    <xf numFmtId="0" fontId="64" fillId="0" borderId="175" xfId="0" applyFont="1" applyBorder="1" applyAlignment="1">
      <alignment wrapText="1"/>
    </xf>
    <xf numFmtId="0" fontId="64" fillId="0" borderId="175" xfId="0" applyFont="1" applyBorder="1" applyAlignment="1">
      <alignment horizontal="left" wrapText="1"/>
    </xf>
    <xf numFmtId="0" fontId="134" fillId="71" borderId="177" xfId="0" applyFont="1" applyFill="1" applyBorder="1" applyAlignment="1">
      <alignment horizontal="left" wrapText="1" indent="1"/>
    </xf>
    <xf numFmtId="0" fontId="162" fillId="5" borderId="21" xfId="0" applyFont="1" applyFill="1" applyBorder="1" applyAlignment="1">
      <alignment horizontal="center" vertical="center" wrapText="1"/>
    </xf>
    <xf numFmtId="0" fontId="132" fillId="2" borderId="179" xfId="0" applyFont="1" applyFill="1" applyBorder="1" applyAlignment="1">
      <alignment horizontal="left" wrapText="1" indent="1"/>
    </xf>
    <xf numFmtId="0" fontId="132" fillId="2" borderId="180" xfId="0" applyFont="1" applyFill="1" applyBorder="1" applyAlignment="1">
      <alignment horizontal="left" wrapText="1" indent="1"/>
    </xf>
    <xf numFmtId="0" fontId="132" fillId="2" borderId="180" xfId="0" applyFont="1" applyFill="1" applyBorder="1" applyAlignment="1">
      <alignment horizontal="left" vertical="center" wrapText="1" indent="1"/>
    </xf>
    <xf numFmtId="0" fontId="132" fillId="2" borderId="181" xfId="0" applyFont="1" applyFill="1" applyBorder="1" applyAlignment="1">
      <alignment horizontal="left" wrapText="1" indent="1"/>
    </xf>
    <xf numFmtId="0" fontId="135" fillId="5" borderId="64" xfId="0" applyFont="1" applyFill="1" applyBorder="1" applyAlignment="1">
      <alignment horizontal="center" vertical="center" wrapText="1"/>
    </xf>
    <xf numFmtId="0" fontId="133" fillId="84" borderId="180" xfId="0" applyFont="1" applyFill="1" applyBorder="1" applyAlignment="1">
      <alignment horizontal="left" wrapText="1" indent="1"/>
    </xf>
    <xf numFmtId="0" fontId="134" fillId="84" borderId="180" xfId="0" applyFont="1" applyFill="1" applyBorder="1" applyAlignment="1">
      <alignment horizontal="left" wrapText="1" indent="1"/>
    </xf>
    <xf numFmtId="0" fontId="135" fillId="85" borderId="180" xfId="0" applyFont="1" applyFill="1" applyBorder="1" applyAlignment="1">
      <alignment horizontal="center" vertical="center" wrapText="1"/>
    </xf>
    <xf numFmtId="0" fontId="132" fillId="85" borderId="180" xfId="0" applyFont="1" applyFill="1" applyBorder="1" applyAlignment="1">
      <alignment horizontal="left" vertical="center" wrapText="1" indent="1"/>
    </xf>
    <xf numFmtId="0" fontId="135" fillId="87" borderId="183" xfId="0" applyFont="1" applyFill="1" applyBorder="1" applyAlignment="1">
      <alignment horizontal="center" vertical="center" wrapText="1"/>
    </xf>
    <xf numFmtId="0" fontId="135" fillId="5" borderId="185" xfId="0" applyFont="1" applyFill="1" applyBorder="1" applyAlignment="1">
      <alignment horizontal="center" vertical="center" wrapText="1"/>
    </xf>
    <xf numFmtId="0" fontId="134" fillId="86" borderId="180" xfId="0" applyFont="1" applyFill="1" applyBorder="1" applyAlignment="1">
      <alignment horizontal="left" wrapText="1" indent="1"/>
    </xf>
    <xf numFmtId="0" fontId="135" fillId="87" borderId="184" xfId="0" applyFont="1" applyFill="1" applyBorder="1" applyAlignment="1">
      <alignment horizontal="center" vertical="center" wrapText="1"/>
    </xf>
    <xf numFmtId="0" fontId="132" fillId="87" borderId="180" xfId="0" applyFont="1" applyFill="1" applyBorder="1" applyAlignment="1">
      <alignment horizontal="left" wrapText="1" indent="1"/>
    </xf>
    <xf numFmtId="0" fontId="64" fillId="0" borderId="186" xfId="0" applyFont="1" applyBorder="1" applyAlignment="1">
      <alignment wrapText="1"/>
    </xf>
    <xf numFmtId="0" fontId="132" fillId="5" borderId="16" xfId="0" applyFont="1" applyFill="1" applyBorder="1" applyAlignment="1">
      <alignment wrapText="1"/>
    </xf>
    <xf numFmtId="0" fontId="135" fillId="85" borderId="188" xfId="0" applyFont="1" applyFill="1" applyBorder="1" applyAlignment="1">
      <alignment horizontal="center" vertical="center" wrapText="1"/>
    </xf>
    <xf numFmtId="0" fontId="135" fillId="87" borderId="188" xfId="0" applyFont="1" applyFill="1" applyBorder="1" applyAlignment="1">
      <alignment horizontal="center" vertical="center" wrapText="1"/>
    </xf>
    <xf numFmtId="0" fontId="96" fillId="0" borderId="0" xfId="3" applyNumberFormat="1" applyFont="1" applyAlignment="1">
      <alignment horizontal="left" vertical="center"/>
    </xf>
    <xf numFmtId="0" fontId="133" fillId="71" borderId="178" xfId="0" applyFont="1" applyFill="1" applyBorder="1" applyAlignment="1">
      <alignment horizontal="center" vertical="center" wrapText="1"/>
    </xf>
    <xf numFmtId="0" fontId="133" fillId="84" borderId="180" xfId="0" applyFont="1" applyFill="1" applyBorder="1" applyAlignment="1">
      <alignment horizontal="center" wrapText="1"/>
    </xf>
    <xf numFmtId="0" fontId="133" fillId="86" borderId="184" xfId="0" applyFont="1" applyFill="1" applyBorder="1" applyAlignment="1">
      <alignment horizontal="center" wrapText="1"/>
    </xf>
    <xf numFmtId="0" fontId="133" fillId="86" borderId="188" xfId="0" applyFont="1" applyFill="1" applyBorder="1" applyAlignment="1">
      <alignment horizontal="center" wrapText="1"/>
    </xf>
    <xf numFmtId="0" fontId="133" fillId="84" borderId="188" xfId="0" applyFont="1" applyFill="1" applyBorder="1" applyAlignment="1">
      <alignment horizontal="center" wrapText="1"/>
    </xf>
    <xf numFmtId="0" fontId="133" fillId="71" borderId="176" xfId="0" applyFont="1" applyFill="1" applyBorder="1" applyAlignment="1">
      <alignment horizontal="center" wrapText="1"/>
    </xf>
    <xf numFmtId="0" fontId="132" fillId="0" borderId="190" xfId="0" applyFont="1" applyBorder="1" applyAlignment="1">
      <alignment wrapText="1"/>
    </xf>
    <xf numFmtId="0" fontId="132" fillId="0" borderId="191" xfId="0" applyFont="1" applyBorder="1" applyAlignment="1">
      <alignment vertical="center" wrapText="1"/>
    </xf>
    <xf numFmtId="167" fontId="132" fillId="0" borderId="191" xfId="77" applyNumberFormat="1" applyFont="1" applyFill="1" applyBorder="1" applyAlignment="1" applyProtection="1">
      <alignment wrapText="1"/>
    </xf>
    <xf numFmtId="0" fontId="132" fillId="0" borderId="191" xfId="0" applyFont="1" applyBorder="1" applyAlignment="1">
      <alignment horizontal="center" wrapText="1"/>
    </xf>
    <xf numFmtId="167" fontId="132" fillId="0" borderId="191" xfId="77" applyNumberFormat="1" applyFont="1" applyFill="1" applyBorder="1" applyAlignment="1" applyProtection="1">
      <alignment horizontal="left" vertical="center" wrapText="1"/>
    </xf>
    <xf numFmtId="0" fontId="132" fillId="0" borderId="191" xfId="0" applyFont="1" applyBorder="1" applyAlignment="1">
      <alignment wrapText="1"/>
    </xf>
    <xf numFmtId="0" fontId="64" fillId="0" borderId="191" xfId="0" applyFont="1" applyBorder="1" applyAlignment="1">
      <alignment wrapText="1"/>
    </xf>
    <xf numFmtId="0" fontId="226" fillId="5" borderId="0" xfId="0" applyFont="1" applyFill="1"/>
    <xf numFmtId="0" fontId="64" fillId="0" borderId="192" xfId="0" applyFont="1" applyBorder="1" applyAlignment="1">
      <alignment wrapText="1"/>
    </xf>
    <xf numFmtId="0" fontId="64" fillId="0" borderId="193" xfId="0" applyFont="1" applyBorder="1" applyAlignment="1">
      <alignment wrapText="1"/>
    </xf>
    <xf numFmtId="0" fontId="64" fillId="0" borderId="192" xfId="0" applyFont="1" applyBorder="1" applyAlignment="1">
      <alignment horizontal="left" wrapText="1"/>
    </xf>
    <xf numFmtId="0" fontId="64" fillId="5" borderId="192" xfId="0" applyFont="1" applyFill="1" applyBorder="1" applyAlignment="1">
      <alignment wrapText="1"/>
    </xf>
    <xf numFmtId="0" fontId="162" fillId="5" borderId="195" xfId="0" applyFont="1" applyFill="1" applyBorder="1" applyAlignment="1">
      <alignment horizontal="center" vertical="center" wrapText="1"/>
    </xf>
    <xf numFmtId="0" fontId="135" fillId="87" borderId="198" xfId="0" applyFont="1" applyFill="1" applyBorder="1" applyAlignment="1">
      <alignment horizontal="center" vertical="center" wrapText="1"/>
    </xf>
    <xf numFmtId="9" fontId="132" fillId="5" borderId="205" xfId="6" applyFont="1" applyFill="1" applyBorder="1" applyAlignment="1" applyProtection="1">
      <alignment horizontal="center" wrapText="1"/>
    </xf>
    <xf numFmtId="9" fontId="132" fillId="5" borderId="204" xfId="6" applyFont="1" applyFill="1" applyBorder="1" applyAlignment="1" applyProtection="1">
      <alignment horizontal="center" wrapText="1"/>
    </xf>
    <xf numFmtId="0" fontId="133" fillId="71" borderId="188" xfId="0" applyFont="1" applyFill="1" applyBorder="1" applyAlignment="1">
      <alignment horizontal="center" wrapText="1"/>
    </xf>
    <xf numFmtId="0" fontId="133" fillId="71" borderId="180" xfId="0" applyFont="1" applyFill="1" applyBorder="1" applyAlignment="1">
      <alignment horizontal="center" vertical="center" wrapText="1"/>
    </xf>
    <xf numFmtId="0" fontId="154" fillId="71" borderId="180" xfId="0" applyFont="1" applyFill="1" applyBorder="1" applyAlignment="1">
      <alignment horizontal="left" wrapText="1" indent="1"/>
    </xf>
    <xf numFmtId="167" fontId="135" fillId="5" borderId="180" xfId="77" applyNumberFormat="1" applyFont="1" applyFill="1" applyBorder="1" applyAlignment="1" applyProtection="1">
      <alignment horizontal="center" vertical="center" wrapText="1"/>
    </xf>
    <xf numFmtId="167" fontId="132" fillId="95" borderId="180" xfId="77" applyNumberFormat="1" applyFont="1" applyFill="1" applyBorder="1" applyAlignment="1" applyProtection="1">
      <alignment horizontal="center" vertical="center" wrapText="1"/>
      <protection locked="0"/>
    </xf>
    <xf numFmtId="0" fontId="154" fillId="84" borderId="180" xfId="0" applyFont="1" applyFill="1" applyBorder="1" applyAlignment="1">
      <alignment horizontal="left" wrapText="1" indent="1"/>
    </xf>
    <xf numFmtId="0" fontId="133" fillId="86" borderId="180" xfId="0" applyFont="1" applyFill="1" applyBorder="1" applyAlignment="1">
      <alignment horizontal="left" wrapText="1" indent="1"/>
    </xf>
    <xf numFmtId="0" fontId="154" fillId="86" borderId="180" xfId="0" applyFont="1" applyFill="1" applyBorder="1" applyAlignment="1">
      <alignment horizontal="left" wrapText="1" indent="1"/>
    </xf>
    <xf numFmtId="0" fontId="135" fillId="87" borderId="180" xfId="0" applyFont="1" applyFill="1" applyBorder="1" applyAlignment="1">
      <alignment horizontal="center" vertical="center" wrapText="1"/>
    </xf>
    <xf numFmtId="0" fontId="132" fillId="87" borderId="198" xfId="0" applyFont="1" applyFill="1" applyBorder="1" applyAlignment="1">
      <alignment horizontal="left" wrapText="1" indent="1"/>
    </xf>
    <xf numFmtId="167" fontId="132" fillId="95" borderId="198" xfId="77" applyNumberFormat="1" applyFont="1" applyFill="1" applyBorder="1" applyAlignment="1" applyProtection="1">
      <alignment horizontal="center" vertical="center" wrapText="1"/>
      <protection locked="0"/>
    </xf>
    <xf numFmtId="0" fontId="132" fillId="5" borderId="158" xfId="0" applyFont="1" applyFill="1" applyBorder="1" applyAlignment="1">
      <alignment wrapText="1"/>
    </xf>
    <xf numFmtId="0" fontId="132" fillId="5" borderId="204" xfId="0" applyFont="1" applyFill="1" applyBorder="1" applyAlignment="1">
      <alignment horizontal="center" vertical="center" wrapText="1"/>
    </xf>
    <xf numFmtId="0" fontId="132" fillId="5" borderId="204" xfId="0" applyFont="1" applyFill="1" applyBorder="1" applyAlignment="1">
      <alignment horizontal="left" wrapText="1" indent="1"/>
    </xf>
    <xf numFmtId="167" fontId="132" fillId="5" borderId="204" xfId="77" applyNumberFormat="1" applyFont="1" applyFill="1" applyBorder="1" applyAlignment="1" applyProtection="1">
      <alignment horizontal="center" vertical="center" wrapText="1"/>
    </xf>
    <xf numFmtId="0" fontId="135" fillId="5" borderId="204" xfId="0" applyFont="1" applyFill="1" applyBorder="1" applyAlignment="1">
      <alignment horizontal="center" vertical="center" wrapText="1"/>
    </xf>
    <xf numFmtId="167" fontId="132" fillId="0" borderId="154" xfId="77" applyNumberFormat="1" applyFont="1" applyBorder="1" applyAlignment="1" applyProtection="1">
      <alignment wrapText="1"/>
    </xf>
    <xf numFmtId="167" fontId="132" fillId="0" borderId="192" xfId="77" applyNumberFormat="1" applyFont="1" applyBorder="1" applyAlignment="1" applyProtection="1">
      <alignment wrapText="1"/>
    </xf>
    <xf numFmtId="0" fontId="132" fillId="87" borderId="180" xfId="0" applyFont="1" applyFill="1" applyBorder="1" applyAlignment="1">
      <alignment horizontal="left" vertical="center" wrapText="1" indent="1"/>
    </xf>
    <xf numFmtId="189" fontId="132" fillId="95" borderId="1" xfId="77" applyNumberFormat="1" applyFont="1" applyFill="1" applyBorder="1" applyAlignment="1" applyProtection="1">
      <alignment wrapText="1"/>
      <protection locked="0"/>
    </xf>
    <xf numFmtId="1" fontId="132" fillId="95" borderId="1" xfId="77" applyNumberFormat="1" applyFont="1" applyFill="1" applyBorder="1" applyAlignment="1" applyProtection="1">
      <alignment wrapText="1"/>
      <protection locked="0"/>
    </xf>
    <xf numFmtId="0" fontId="135" fillId="5" borderId="33" xfId="6" applyNumberFormat="1" applyFont="1" applyFill="1" applyBorder="1" applyAlignment="1" applyProtection="1">
      <alignment vertical="center" wrapText="1"/>
    </xf>
    <xf numFmtId="9" fontId="135" fillId="5" borderId="218" xfId="6" applyFont="1" applyFill="1" applyBorder="1" applyAlignment="1" applyProtection="1">
      <alignment horizontal="center" vertical="center" wrapText="1"/>
    </xf>
    <xf numFmtId="0" fontId="135" fillId="0" borderId="219" xfId="0" applyFont="1" applyBorder="1" applyAlignment="1">
      <alignment horizontal="center" vertical="center" wrapText="1"/>
    </xf>
    <xf numFmtId="167" fontId="132" fillId="0" borderId="134" xfId="77" applyNumberFormat="1" applyFont="1" applyBorder="1" applyAlignment="1" applyProtection="1">
      <alignment horizontal="center" vertical="center" wrapText="1"/>
    </xf>
    <xf numFmtId="0" fontId="132" fillId="5" borderId="33" xfId="0" applyFont="1" applyFill="1" applyBorder="1" applyAlignment="1">
      <alignment horizontal="center" vertical="center" wrapText="1"/>
    </xf>
    <xf numFmtId="10" fontId="135" fillId="5" borderId="1" xfId="6" applyNumberFormat="1" applyFont="1" applyFill="1" applyBorder="1" applyAlignment="1" applyProtection="1">
      <alignment vertical="center" wrapText="1"/>
    </xf>
    <xf numFmtId="167" fontId="132" fillId="95" borderId="1" xfId="77" applyNumberFormat="1" applyFont="1" applyFill="1" applyBorder="1" applyAlignment="1" applyProtection="1">
      <alignment vertical="center" wrapText="1"/>
      <protection locked="0"/>
    </xf>
    <xf numFmtId="1" fontId="135" fillId="5" borderId="1" xfId="6" applyNumberFormat="1" applyFont="1" applyFill="1" applyBorder="1" applyAlignment="1" applyProtection="1">
      <alignment vertical="center" wrapText="1"/>
    </xf>
    <xf numFmtId="2" fontId="132" fillId="5" borderId="1" xfId="77" applyNumberFormat="1" applyFont="1" applyFill="1" applyBorder="1" applyAlignment="1" applyProtection="1">
      <alignment vertical="center" wrapText="1"/>
    </xf>
    <xf numFmtId="9" fontId="132" fillId="5" borderId="1" xfId="6" applyFont="1" applyFill="1" applyBorder="1" applyAlignment="1" applyProtection="1">
      <alignment vertical="center" wrapText="1"/>
    </xf>
    <xf numFmtId="1" fontId="132" fillId="5" borderId="1" xfId="6" applyNumberFormat="1" applyFont="1" applyFill="1" applyBorder="1" applyAlignment="1" applyProtection="1">
      <alignment vertical="center" wrapText="1"/>
    </xf>
    <xf numFmtId="10" fontId="135" fillId="5" borderId="41" xfId="6" applyNumberFormat="1" applyFont="1" applyFill="1" applyBorder="1" applyAlignment="1" applyProtection="1">
      <alignment vertical="center" wrapText="1"/>
    </xf>
    <xf numFmtId="9" fontId="132" fillId="5" borderId="41" xfId="6" applyFont="1" applyFill="1" applyBorder="1" applyAlignment="1" applyProtection="1">
      <alignment vertical="center" wrapText="1"/>
    </xf>
    <xf numFmtId="9" fontId="132" fillId="5" borderId="1" xfId="6" applyFont="1" applyFill="1" applyBorder="1" applyAlignment="1" applyProtection="1">
      <alignment wrapText="1"/>
    </xf>
    <xf numFmtId="9" fontId="226" fillId="118" borderId="1" xfId="6" applyFont="1" applyFill="1" applyBorder="1" applyAlignment="1" applyProtection="1">
      <alignment horizontal="center" vertical="center" wrapText="1"/>
      <protection locked="0"/>
    </xf>
    <xf numFmtId="167" fontId="132" fillId="95" borderId="1" xfId="77" applyNumberFormat="1" applyFont="1" applyFill="1" applyBorder="1" applyAlignment="1" applyProtection="1">
      <alignment wrapText="1"/>
      <protection locked="0"/>
    </xf>
    <xf numFmtId="9" fontId="132" fillId="5" borderId="41" xfId="6" applyFont="1" applyFill="1" applyBorder="1" applyAlignment="1" applyProtection="1">
      <alignment wrapText="1"/>
    </xf>
    <xf numFmtId="167" fontId="132" fillId="95" borderId="43" xfId="77" applyNumberFormat="1" applyFont="1" applyFill="1" applyBorder="1" applyAlignment="1" applyProtection="1">
      <alignment wrapText="1"/>
      <protection locked="0"/>
    </xf>
    <xf numFmtId="9" fontId="132" fillId="5" borderId="43" xfId="6" applyFont="1" applyFill="1" applyBorder="1" applyAlignment="1" applyProtection="1">
      <alignment wrapText="1"/>
    </xf>
    <xf numFmtId="9" fontId="132" fillId="5" borderId="44" xfId="6" applyFont="1" applyFill="1" applyBorder="1" applyAlignment="1" applyProtection="1">
      <alignment wrapText="1"/>
    </xf>
    <xf numFmtId="0" fontId="135" fillId="96" borderId="221" xfId="0" applyFont="1" applyFill="1" applyBorder="1" applyAlignment="1">
      <alignment vertical="center" wrapText="1"/>
    </xf>
    <xf numFmtId="0" fontId="132" fillId="5" borderId="223" xfId="0" applyFont="1" applyFill="1" applyBorder="1" applyAlignment="1">
      <alignment wrapText="1"/>
    </xf>
    <xf numFmtId="0" fontId="135" fillId="0" borderId="115" xfId="0" applyFont="1" applyBorder="1" applyAlignment="1">
      <alignment horizontal="center" vertical="center" wrapText="1"/>
    </xf>
    <xf numFmtId="0" fontId="135" fillId="0" borderId="217" xfId="0" applyFont="1" applyBorder="1" applyAlignment="1">
      <alignment horizontal="center" vertical="center" wrapText="1"/>
    </xf>
    <xf numFmtId="3" fontId="0" fillId="4" borderId="2" xfId="3" applyNumberFormat="1" applyFont="1" applyFill="1" applyBorder="1" applyAlignment="1" applyProtection="1">
      <alignment horizontal="center" vertical="center"/>
    </xf>
    <xf numFmtId="3" fontId="0" fillId="4" borderId="2" xfId="0" applyNumberFormat="1" applyFill="1" applyBorder="1" applyAlignment="1">
      <alignment horizontal="center" vertical="center"/>
    </xf>
    <xf numFmtId="3" fontId="0" fillId="4" borderId="2" xfId="3" applyNumberFormat="1" applyFont="1" applyFill="1" applyBorder="1" applyAlignment="1" applyProtection="1">
      <alignment horizontal="center" vertical="center" wrapText="1"/>
    </xf>
    <xf numFmtId="4" fontId="0" fillId="4" borderId="2" xfId="3" applyNumberFormat="1" applyFont="1" applyFill="1" applyBorder="1" applyAlignment="1" applyProtection="1">
      <alignment horizontal="center" vertical="center" wrapText="1"/>
    </xf>
    <xf numFmtId="0" fontId="6" fillId="8" borderId="2" xfId="0" applyFont="1" applyFill="1" applyBorder="1" applyAlignment="1">
      <alignment horizontal="center" vertical="center" wrapText="1"/>
    </xf>
    <xf numFmtId="0" fontId="229" fillId="0" borderId="199" xfId="0" applyFont="1" applyBorder="1" applyAlignment="1">
      <alignment horizontal="center" vertical="center" wrapText="1"/>
    </xf>
    <xf numFmtId="167" fontId="228" fillId="83" borderId="184" xfId="77" applyNumberFormat="1" applyFont="1" applyFill="1" applyBorder="1" applyAlignment="1" applyProtection="1">
      <alignment vertical="center" wrapText="1"/>
      <protection locked="0"/>
    </xf>
    <xf numFmtId="167" fontId="228" fillId="5" borderId="204" xfId="77" applyNumberFormat="1" applyFont="1" applyFill="1" applyBorder="1" applyAlignment="1" applyProtection="1">
      <alignment wrapText="1"/>
    </xf>
    <xf numFmtId="0" fontId="229" fillId="0" borderId="180" xfId="0" applyFont="1" applyBorder="1" applyAlignment="1">
      <alignment horizontal="center" vertical="center" wrapText="1"/>
    </xf>
    <xf numFmtId="167" fontId="228" fillId="83" borderId="203" xfId="77" applyNumberFormat="1" applyFont="1" applyFill="1" applyBorder="1" applyAlignment="1" applyProtection="1">
      <alignment vertical="center" wrapText="1"/>
      <protection locked="0"/>
    </xf>
    <xf numFmtId="0" fontId="135" fillId="0" borderId="227" xfId="0" applyFont="1" applyBorder="1" applyAlignment="1">
      <alignment horizontal="center" vertical="center"/>
    </xf>
    <xf numFmtId="0" fontId="0" fillId="0" borderId="175" xfId="0" applyBorder="1"/>
    <xf numFmtId="0" fontId="0" fillId="76" borderId="5" xfId="0" applyFill="1" applyBorder="1"/>
    <xf numFmtId="0" fontId="39" fillId="101" borderId="5" xfId="0" applyFont="1" applyFill="1" applyBorder="1"/>
    <xf numFmtId="167" fontId="23" fillId="0" borderId="5" xfId="3" quotePrefix="1" applyNumberFormat="1" applyFont="1" applyFill="1" applyBorder="1" applyAlignment="1">
      <alignment horizontal="center"/>
    </xf>
    <xf numFmtId="174" fontId="23" fillId="2" borderId="5" xfId="6" applyNumberFormat="1" applyFont="1" applyFill="1" applyBorder="1" applyAlignment="1">
      <alignment horizontal="center"/>
    </xf>
    <xf numFmtId="0" fontId="0" fillId="0" borderId="228" xfId="0" applyBorder="1"/>
    <xf numFmtId="0" fontId="183" fillId="14" borderId="141" xfId="0" applyFont="1" applyFill="1" applyBorder="1"/>
    <xf numFmtId="0" fontId="184" fillId="14" borderId="141" xfId="0" applyFont="1" applyFill="1" applyBorder="1"/>
    <xf numFmtId="0" fontId="39" fillId="14" borderId="141" xfId="0" applyFont="1" applyFill="1" applyBorder="1"/>
    <xf numFmtId="167" fontId="13" fillId="14" borderId="141" xfId="3" quotePrefix="1" applyNumberFormat="1" applyFont="1" applyFill="1" applyBorder="1" applyAlignment="1">
      <alignment horizontal="center"/>
    </xf>
    <xf numFmtId="174" fontId="13" fillId="14" borderId="141" xfId="6" applyNumberFormat="1" applyFont="1" applyFill="1" applyBorder="1" applyAlignment="1">
      <alignment horizontal="center"/>
    </xf>
    <xf numFmtId="0" fontId="0" fillId="14" borderId="141" xfId="0" applyFill="1" applyBorder="1"/>
    <xf numFmtId="0" fontId="185" fillId="14" borderId="141" xfId="0" applyFont="1" applyFill="1" applyBorder="1"/>
    <xf numFmtId="0" fontId="185" fillId="14" borderId="141" xfId="0" applyFont="1" applyFill="1" applyBorder="1" applyAlignment="1">
      <alignment wrapText="1"/>
    </xf>
    <xf numFmtId="0" fontId="39" fillId="14" borderId="141" xfId="0" applyFont="1" applyFill="1" applyBorder="1" applyAlignment="1">
      <alignment wrapText="1"/>
    </xf>
    <xf numFmtId="0" fontId="62" fillId="14" borderId="141" xfId="0" applyFont="1" applyFill="1" applyBorder="1" applyAlignment="1">
      <alignment horizontal="center" wrapText="1"/>
    </xf>
    <xf numFmtId="0" fontId="0" fillId="56" borderId="1" xfId="0" applyFill="1" applyBorder="1" applyAlignment="1">
      <alignment horizontal="right" vertical="center" wrapText="1"/>
    </xf>
    <xf numFmtId="0" fontId="6" fillId="4" borderId="1" xfId="0" applyFont="1" applyFill="1" applyBorder="1" applyAlignment="1">
      <alignment horizontal="center" vertical="center"/>
    </xf>
    <xf numFmtId="0" fontId="0" fillId="0" borderId="190" xfId="0" applyBorder="1" applyAlignment="1">
      <alignment horizontal="center" vertical="center"/>
    </xf>
    <xf numFmtId="0" fontId="0" fillId="0" borderId="191" xfId="0" applyBorder="1" applyAlignment="1">
      <alignment horizontal="center" vertical="center"/>
    </xf>
    <xf numFmtId="0" fontId="0" fillId="5" borderId="191" xfId="0" applyFill="1" applyBorder="1"/>
    <xf numFmtId="165" fontId="0" fillId="120" borderId="0" xfId="3" applyFont="1" applyFill="1"/>
    <xf numFmtId="0" fontId="0" fillId="120" borderId="0" xfId="0" applyFill="1"/>
    <xf numFmtId="0" fontId="62" fillId="120" borderId="0" xfId="0" applyFont="1" applyFill="1" applyAlignment="1">
      <alignment horizontal="center" wrapText="1"/>
    </xf>
    <xf numFmtId="0" fontId="6" fillId="4" borderId="2" xfId="0" applyFont="1" applyFill="1" applyBorder="1" applyAlignment="1">
      <alignment horizontal="center" vertical="center"/>
    </xf>
    <xf numFmtId="167" fontId="228" fillId="83" borderId="184" xfId="77" applyNumberFormat="1" applyFont="1" applyFill="1" applyBorder="1" applyAlignment="1" applyProtection="1">
      <alignment vertical="center" wrapText="1"/>
    </xf>
    <xf numFmtId="169" fontId="215" fillId="109" borderId="57" xfId="0" applyNumberFormat="1" applyFont="1" applyFill="1" applyBorder="1" applyAlignment="1" applyProtection="1">
      <alignment horizontal="center" vertical="center" wrapText="1"/>
      <protection locked="0"/>
    </xf>
    <xf numFmtId="4" fontId="216" fillId="115" borderId="57" xfId="0" applyNumberFormat="1" applyFont="1" applyFill="1" applyBorder="1" applyAlignment="1" applyProtection="1">
      <alignment horizontal="center" vertical="center" wrapText="1"/>
      <protection locked="0"/>
    </xf>
    <xf numFmtId="3" fontId="211" fillId="109" borderId="57" xfId="0" applyNumberFormat="1" applyFont="1" applyFill="1" applyBorder="1" applyAlignment="1" applyProtection="1">
      <alignment horizontal="center" vertical="center" wrapText="1"/>
      <protection locked="0"/>
    </xf>
    <xf numFmtId="9" fontId="132" fillId="5" borderId="105" xfId="6" applyFont="1" applyFill="1" applyBorder="1" applyAlignment="1" applyProtection="1">
      <alignment horizontal="center" vertical="center" wrapText="1"/>
    </xf>
    <xf numFmtId="165" fontId="132" fillId="0" borderId="1" xfId="6" applyNumberFormat="1" applyFont="1" applyFill="1" applyBorder="1" applyAlignment="1" applyProtection="1">
      <alignment wrapText="1"/>
    </xf>
    <xf numFmtId="0" fontId="232" fillId="120" borderId="0" xfId="0" applyFont="1" applyFill="1"/>
    <xf numFmtId="0" fontId="0" fillId="0" borderId="0" xfId="0" applyAlignment="1" applyProtection="1">
      <alignment horizontal="center"/>
      <protection locked="0"/>
    </xf>
    <xf numFmtId="0" fontId="0" fillId="0" borderId="10" xfId="0" applyBorder="1" applyAlignment="1" applyProtection="1">
      <alignment horizontal="center"/>
      <protection locked="0"/>
    </xf>
    <xf numFmtId="0" fontId="0" fillId="5" borderId="0" xfId="0" applyFill="1" applyAlignment="1">
      <alignment horizontal="left" vertical="top" wrapText="1"/>
    </xf>
    <xf numFmtId="0" fontId="20" fillId="5" borderId="0" xfId="0" applyFont="1" applyFill="1" applyAlignment="1">
      <alignment horizontal="center" vertical="center" wrapText="1"/>
    </xf>
    <xf numFmtId="0" fontId="20" fillId="5" borderId="46" xfId="0" applyFont="1" applyFill="1" applyBorder="1" applyAlignment="1">
      <alignment horizontal="center" vertical="center" wrapText="1"/>
    </xf>
    <xf numFmtId="0" fontId="219" fillId="14" borderId="0" xfId="0" applyFont="1" applyFill="1" applyAlignment="1">
      <alignment horizontal="center" vertical="center"/>
    </xf>
    <xf numFmtId="4" fontId="0" fillId="102" borderId="2" xfId="3" applyNumberFormat="1" applyFont="1" applyFill="1" applyBorder="1" applyAlignment="1" applyProtection="1">
      <alignment horizontal="center" vertical="center" wrapText="1"/>
    </xf>
    <xf numFmtId="4" fontId="0" fillId="102" borderId="3" xfId="3" applyNumberFormat="1" applyFont="1" applyFill="1" applyBorder="1" applyAlignment="1" applyProtection="1">
      <alignment horizontal="center" vertical="center" wrapText="1"/>
    </xf>
    <xf numFmtId="3" fontId="0" fillId="102" borderId="2" xfId="3" applyNumberFormat="1" applyFont="1" applyFill="1" applyBorder="1" applyAlignment="1" applyProtection="1">
      <alignment horizontal="center" vertical="center" wrapText="1"/>
    </xf>
    <xf numFmtId="3" fontId="0" fillId="102" borderId="3" xfId="3" applyNumberFormat="1" applyFont="1" applyFill="1" applyBorder="1" applyAlignment="1" applyProtection="1">
      <alignment horizontal="center" vertical="center" wrapText="1"/>
    </xf>
    <xf numFmtId="0" fontId="0" fillId="120" borderId="0" xfId="0" applyFill="1" applyAlignment="1">
      <alignment horizontal="left" wrapText="1"/>
    </xf>
    <xf numFmtId="0" fontId="74" fillId="8" borderId="2" xfId="0" applyFont="1" applyFill="1" applyBorder="1" applyAlignment="1">
      <alignment horizontal="center"/>
    </xf>
    <xf numFmtId="0" fontId="74" fillId="8" borderId="4" xfId="0" applyFont="1" applyFill="1" applyBorder="1" applyAlignment="1">
      <alignment horizontal="center"/>
    </xf>
    <xf numFmtId="0" fontId="74" fillId="8" borderId="3" xfId="0" applyFont="1" applyFill="1" applyBorder="1" applyAlignment="1">
      <alignment horizontal="center"/>
    </xf>
    <xf numFmtId="0" fontId="6" fillId="8" borderId="2" xfId="0" applyFont="1" applyFill="1" applyBorder="1" applyAlignment="1">
      <alignment horizontal="center" vertical="center" wrapText="1"/>
    </xf>
    <xf numFmtId="0" fontId="6" fillId="8" borderId="3" xfId="0" applyFont="1" applyFill="1" applyBorder="1" applyAlignment="1">
      <alignment horizontal="center" vertical="center" wrapText="1"/>
    </xf>
    <xf numFmtId="1" fontId="0" fillId="102" borderId="2" xfId="3" applyNumberFormat="1" applyFont="1" applyFill="1" applyBorder="1" applyAlignment="1" applyProtection="1">
      <alignment horizontal="center" vertical="center" wrapText="1"/>
    </xf>
    <xf numFmtId="1" fontId="0" fillId="102" borderId="3" xfId="3" applyNumberFormat="1" applyFont="1" applyFill="1" applyBorder="1" applyAlignment="1" applyProtection="1">
      <alignment horizontal="center" vertical="center" wrapText="1"/>
    </xf>
    <xf numFmtId="0" fontId="0" fillId="120" borderId="0" xfId="0" applyFill="1" applyAlignment="1">
      <alignment horizontal="left" vertical="center"/>
    </xf>
    <xf numFmtId="0" fontId="0" fillId="120" borderId="0" xfId="0" applyFill="1" applyAlignment="1">
      <alignment horizontal="left"/>
    </xf>
    <xf numFmtId="167" fontId="135" fillId="5" borderId="38" xfId="77" applyNumberFormat="1" applyFont="1" applyFill="1" applyBorder="1" applyAlignment="1" applyProtection="1">
      <alignment horizontal="center" vertical="center" wrapText="1"/>
    </xf>
    <xf numFmtId="167" fontId="135" fillId="5" borderId="148" xfId="77" applyNumberFormat="1" applyFont="1" applyFill="1" applyBorder="1" applyAlignment="1" applyProtection="1">
      <alignment horizontal="center" vertical="center" wrapText="1"/>
    </xf>
    <xf numFmtId="167" fontId="135" fillId="5" borderId="0" xfId="77" applyNumberFormat="1" applyFont="1" applyFill="1" applyBorder="1" applyAlignment="1" applyProtection="1">
      <alignment horizontal="center" vertical="center" wrapText="1"/>
    </xf>
    <xf numFmtId="167" fontId="135" fillId="5" borderId="33" xfId="77" applyNumberFormat="1" applyFont="1" applyFill="1" applyBorder="1" applyAlignment="1" applyProtection="1">
      <alignment horizontal="center" vertical="center" wrapText="1"/>
    </xf>
    <xf numFmtId="0" fontId="145" fillId="58" borderId="118" xfId="0" applyFont="1" applyFill="1" applyBorder="1" applyAlignment="1">
      <alignment horizontal="left" vertical="center" wrapText="1"/>
    </xf>
    <xf numFmtId="0" fontId="145" fillId="58" borderId="121" xfId="0" applyFont="1" applyFill="1" applyBorder="1" applyAlignment="1">
      <alignment horizontal="left" vertical="center" wrapText="1"/>
    </xf>
    <xf numFmtId="0" fontId="132" fillId="5" borderId="150" xfId="0" applyFont="1" applyFill="1" applyBorder="1" applyAlignment="1">
      <alignment horizontal="left" wrapText="1"/>
    </xf>
    <xf numFmtId="0" fontId="132" fillId="5" borderId="151" xfId="0" applyFont="1" applyFill="1" applyBorder="1" applyAlignment="1">
      <alignment horizontal="left" wrapText="1"/>
    </xf>
    <xf numFmtId="0" fontId="147" fillId="5" borderId="152" xfId="0" applyFont="1" applyFill="1" applyBorder="1" applyAlignment="1">
      <alignment horizontal="left" vertical="center" wrapText="1" indent="1"/>
    </xf>
    <xf numFmtId="0" fontId="147" fillId="5" borderId="153" xfId="0" applyFont="1" applyFill="1" applyBorder="1" applyAlignment="1">
      <alignment horizontal="left" vertical="center" wrapText="1" indent="1"/>
    </xf>
    <xf numFmtId="49" fontId="132" fillId="90" borderId="47" xfId="77" applyNumberFormat="1" applyFont="1" applyFill="1" applyBorder="1" applyAlignment="1" applyProtection="1">
      <alignment horizontal="left" vertical="top" wrapText="1"/>
    </xf>
    <xf numFmtId="49" fontId="132" fillId="90" borderId="48" xfId="77" applyNumberFormat="1" applyFont="1" applyFill="1" applyBorder="1" applyAlignment="1" applyProtection="1">
      <alignment horizontal="left" vertical="top" wrapText="1"/>
    </xf>
    <xf numFmtId="49" fontId="132" fillId="90" borderId="49" xfId="77" applyNumberFormat="1" applyFont="1" applyFill="1" applyBorder="1" applyAlignment="1" applyProtection="1">
      <alignment horizontal="left" vertical="top" wrapText="1"/>
    </xf>
    <xf numFmtId="49" fontId="132" fillId="90" borderId="16" xfId="77" applyNumberFormat="1" applyFont="1" applyFill="1" applyBorder="1" applyAlignment="1" applyProtection="1">
      <alignment horizontal="left" vertical="top" wrapText="1"/>
    </xf>
    <xf numFmtId="49" fontId="132" fillId="90" borderId="0" xfId="77" applyNumberFormat="1" applyFont="1" applyFill="1" applyBorder="1" applyAlignment="1" applyProtection="1">
      <alignment horizontal="left" vertical="top" wrapText="1"/>
    </xf>
    <xf numFmtId="49" fontId="132" fillId="90" borderId="33" xfId="77" applyNumberFormat="1" applyFont="1" applyFill="1" applyBorder="1" applyAlignment="1" applyProtection="1">
      <alignment horizontal="left" vertical="top" wrapText="1"/>
    </xf>
    <xf numFmtId="49" fontId="132" fillId="90" borderId="17" xfId="77" applyNumberFormat="1" applyFont="1" applyFill="1" applyBorder="1" applyAlignment="1" applyProtection="1">
      <alignment horizontal="left" vertical="top" wrapText="1"/>
    </xf>
    <xf numFmtId="49" fontId="132" fillId="90" borderId="46" xfId="77" applyNumberFormat="1" applyFont="1" applyFill="1" applyBorder="1" applyAlignment="1" applyProtection="1">
      <alignment horizontal="left" vertical="top" wrapText="1"/>
    </xf>
    <xf numFmtId="49" fontId="132" fillId="90" borderId="34" xfId="77" applyNumberFormat="1" applyFont="1" applyFill="1" applyBorder="1" applyAlignment="1" applyProtection="1">
      <alignment horizontal="left" vertical="top" wrapText="1"/>
    </xf>
    <xf numFmtId="0" fontId="135" fillId="5" borderId="0" xfId="0" applyFont="1" applyFill="1" applyAlignment="1">
      <alignment horizontal="left" wrapText="1"/>
    </xf>
    <xf numFmtId="0" fontId="135" fillId="5" borderId="33" xfId="0" applyFont="1" applyFill="1" applyBorder="1" applyAlignment="1">
      <alignment horizontal="left" wrapText="1"/>
    </xf>
    <xf numFmtId="0" fontId="132" fillId="0" borderId="0" xfId="0" applyFont="1" applyAlignment="1">
      <alignment horizontal="left" vertical="top" wrapText="1" indent="1"/>
    </xf>
    <xf numFmtId="0" fontId="132" fillId="0" borderId="33" xfId="0" applyFont="1" applyBorder="1" applyAlignment="1">
      <alignment horizontal="left" vertical="top" wrapText="1" indent="1"/>
    </xf>
    <xf numFmtId="0" fontId="132" fillId="0" borderId="154" xfId="0" applyFont="1" applyBorder="1" applyAlignment="1">
      <alignment horizontal="left" vertical="top" wrapText="1" indent="1"/>
    </xf>
    <xf numFmtId="0" fontId="132" fillId="0" borderId="155" xfId="0" applyFont="1" applyBorder="1" applyAlignment="1">
      <alignment horizontal="left" vertical="top" wrapText="1" indent="1"/>
    </xf>
    <xf numFmtId="0" fontId="145" fillId="88" borderId="118" xfId="0" applyFont="1" applyFill="1" applyBorder="1" applyAlignment="1">
      <alignment horizontal="left" vertical="center" wrapText="1"/>
    </xf>
    <xf numFmtId="0" fontId="145" fillId="88" borderId="121" xfId="0" applyFont="1" applyFill="1" applyBorder="1" applyAlignment="1">
      <alignment horizontal="left" vertical="center" wrapText="1"/>
    </xf>
    <xf numFmtId="167" fontId="135" fillId="5" borderId="2" xfId="6" applyNumberFormat="1" applyFont="1" applyFill="1" applyBorder="1" applyAlignment="1" applyProtection="1">
      <alignment horizontal="center" vertical="center" wrapText="1"/>
    </xf>
    <xf numFmtId="167" fontId="135" fillId="5" borderId="4" xfId="6" applyNumberFormat="1" applyFont="1" applyFill="1" applyBorder="1" applyAlignment="1" applyProtection="1">
      <alignment horizontal="center" vertical="center" wrapText="1"/>
    </xf>
    <xf numFmtId="167" fontId="135" fillId="5" borderId="78" xfId="6" applyNumberFormat="1" applyFont="1" applyFill="1" applyBorder="1" applyAlignment="1" applyProtection="1">
      <alignment horizontal="center" vertical="center" wrapText="1"/>
    </xf>
    <xf numFmtId="167" fontId="135" fillId="5" borderId="38" xfId="6" applyNumberFormat="1" applyFont="1" applyFill="1" applyBorder="1" applyAlignment="1" applyProtection="1">
      <alignment horizontal="center" vertical="center" wrapText="1"/>
    </xf>
    <xf numFmtId="167" fontId="135" fillId="5" borderId="148" xfId="6" applyNumberFormat="1" applyFont="1" applyFill="1" applyBorder="1" applyAlignment="1" applyProtection="1">
      <alignment horizontal="center" vertical="center" wrapText="1"/>
    </xf>
    <xf numFmtId="167" fontId="135" fillId="5" borderId="10" xfId="6" applyNumberFormat="1" applyFont="1" applyFill="1" applyBorder="1" applyAlignment="1" applyProtection="1">
      <alignment horizontal="center" vertical="center" wrapText="1"/>
    </xf>
    <xf numFmtId="167" fontId="135" fillId="5" borderId="149" xfId="6" applyNumberFormat="1" applyFont="1" applyFill="1" applyBorder="1" applyAlignment="1" applyProtection="1">
      <alignment horizontal="center" vertical="center" wrapText="1"/>
    </xf>
    <xf numFmtId="0" fontId="145" fillId="89" borderId="118" xfId="0" applyFont="1" applyFill="1" applyBorder="1" applyAlignment="1">
      <alignment horizontal="left" vertical="center" wrapText="1"/>
    </xf>
    <xf numFmtId="0" fontId="145" fillId="89" borderId="121" xfId="0" applyFont="1" applyFill="1" applyBorder="1" applyAlignment="1">
      <alignment horizontal="left" vertical="center" wrapText="1"/>
    </xf>
    <xf numFmtId="0" fontId="145" fillId="71" borderId="118" xfId="0" applyFont="1" applyFill="1" applyBorder="1" applyAlignment="1">
      <alignment horizontal="left" vertical="center" wrapText="1"/>
    </xf>
    <xf numFmtId="0" fontId="145" fillId="71" borderId="121" xfId="0" applyFont="1" applyFill="1" applyBorder="1" applyAlignment="1">
      <alignment horizontal="left" vertical="center" wrapText="1"/>
    </xf>
    <xf numFmtId="0" fontId="145" fillId="84" borderId="118" xfId="0" applyFont="1" applyFill="1" applyBorder="1" applyAlignment="1">
      <alignment horizontal="left" vertical="center" wrapText="1"/>
    </xf>
    <xf numFmtId="0" fontId="145" fillId="84" borderId="121" xfId="0" applyFont="1" applyFill="1" applyBorder="1" applyAlignment="1">
      <alignment horizontal="left" vertical="center" wrapText="1"/>
    </xf>
    <xf numFmtId="0" fontId="145" fillId="86" borderId="118" xfId="0" applyFont="1" applyFill="1" applyBorder="1" applyAlignment="1">
      <alignment horizontal="left" vertical="center" wrapText="1"/>
    </xf>
    <xf numFmtId="0" fontId="145" fillId="86" borderId="121" xfId="0" applyFont="1" applyFill="1" applyBorder="1" applyAlignment="1">
      <alignment horizontal="left" vertical="center" wrapText="1"/>
    </xf>
    <xf numFmtId="0" fontId="135" fillId="87" borderId="184" xfId="0" applyFont="1" applyFill="1" applyBorder="1" applyAlignment="1">
      <alignment horizontal="center" vertical="center" wrapText="1"/>
    </xf>
    <xf numFmtId="9" fontId="132" fillId="5" borderId="180" xfId="6" applyFont="1" applyFill="1" applyBorder="1" applyAlignment="1" applyProtection="1">
      <alignment horizontal="center" vertical="center" wrapText="1"/>
      <protection locked="0"/>
    </xf>
    <xf numFmtId="9" fontId="132" fillId="5" borderId="202" xfId="6" applyFont="1" applyFill="1" applyBorder="1" applyAlignment="1" applyProtection="1">
      <alignment horizontal="center" vertical="center" wrapText="1"/>
      <protection locked="0"/>
    </xf>
    <xf numFmtId="9" fontId="228" fillId="5" borderId="111" xfId="6" applyFont="1" applyFill="1" applyBorder="1" applyAlignment="1" applyProtection="1">
      <alignment horizontal="center" vertical="center" wrapText="1"/>
      <protection locked="0"/>
    </xf>
    <xf numFmtId="9" fontId="228" fillId="5" borderId="225" xfId="6" applyFont="1" applyFill="1" applyBorder="1" applyAlignment="1" applyProtection="1">
      <alignment horizontal="center" vertical="center" wrapText="1"/>
      <protection locked="0"/>
    </xf>
    <xf numFmtId="9" fontId="228" fillId="5" borderId="226" xfId="6" applyFont="1" applyFill="1" applyBorder="1" applyAlignment="1" applyProtection="1">
      <alignment horizontal="center" vertical="center" wrapText="1"/>
      <protection locked="0"/>
    </xf>
    <xf numFmtId="0" fontId="144" fillId="5" borderId="143" xfId="0" applyFont="1" applyFill="1" applyBorder="1" applyAlignment="1">
      <alignment horizontal="left" vertical="center" wrapText="1"/>
    </xf>
    <xf numFmtId="0" fontId="144" fillId="5" borderId="144" xfId="0" applyFont="1" applyFill="1" applyBorder="1" applyAlignment="1">
      <alignment horizontal="left" vertical="center" wrapText="1"/>
    </xf>
    <xf numFmtId="9" fontId="135" fillId="5" borderId="147" xfId="6" applyFont="1" applyFill="1" applyBorder="1" applyAlignment="1" applyProtection="1">
      <alignment horizontal="center" vertical="center" wrapText="1"/>
    </xf>
    <xf numFmtId="9" fontId="135" fillId="5" borderId="52" xfId="6" applyFont="1" applyFill="1" applyBorder="1" applyAlignment="1" applyProtection="1">
      <alignment horizontal="center" vertical="center" wrapText="1"/>
    </xf>
    <xf numFmtId="9" fontId="135" fillId="5" borderId="32" xfId="6" applyFont="1" applyFill="1" applyBorder="1" applyAlignment="1" applyProtection="1">
      <alignment horizontal="center" vertical="center" wrapText="1"/>
    </xf>
    <xf numFmtId="0" fontId="174" fillId="5" borderId="16" xfId="0" applyFont="1" applyFill="1" applyBorder="1" applyAlignment="1">
      <alignment horizontal="left" vertical="center" wrapText="1"/>
    </xf>
    <xf numFmtId="0" fontId="174" fillId="5" borderId="0" xfId="0" applyFont="1" applyFill="1" applyAlignment="1">
      <alignment horizontal="left" vertical="center" wrapText="1"/>
    </xf>
    <xf numFmtId="0" fontId="131" fillId="5" borderId="0" xfId="0" applyFont="1" applyFill="1" applyAlignment="1">
      <alignment horizontal="left" vertical="center" wrapText="1"/>
    </xf>
    <xf numFmtId="9" fontId="135" fillId="5" borderId="200" xfId="6" applyFont="1" applyFill="1" applyBorder="1" applyAlignment="1" applyProtection="1">
      <alignment horizontal="center" vertical="center" wrapText="1"/>
    </xf>
    <xf numFmtId="9" fontId="135" fillId="5" borderId="201" xfId="6" applyFont="1" applyFill="1" applyBorder="1" applyAlignment="1" applyProtection="1">
      <alignment horizontal="center" vertical="center" wrapText="1"/>
    </xf>
    <xf numFmtId="0" fontId="135" fillId="2" borderId="179" xfId="0" applyFont="1" applyFill="1" applyBorder="1" applyAlignment="1">
      <alignment horizontal="center" vertical="center" wrapText="1"/>
    </xf>
    <xf numFmtId="0" fontId="135" fillId="2" borderId="180" xfId="0" applyFont="1" applyFill="1" applyBorder="1" applyAlignment="1">
      <alignment horizontal="center" vertical="center" wrapText="1"/>
    </xf>
    <xf numFmtId="0" fontId="135" fillId="2" borderId="181" xfId="0" applyFont="1" applyFill="1" applyBorder="1" applyAlignment="1">
      <alignment horizontal="center" vertical="center" wrapText="1"/>
    </xf>
    <xf numFmtId="9" fontId="132" fillId="5" borderId="105" xfId="6" applyFont="1" applyFill="1" applyBorder="1" applyAlignment="1" applyProtection="1">
      <alignment horizontal="center" vertical="center" wrapText="1"/>
      <protection locked="0"/>
    </xf>
    <xf numFmtId="9" fontId="132" fillId="5" borderId="106" xfId="6" applyFont="1" applyFill="1" applyBorder="1" applyAlignment="1" applyProtection="1">
      <alignment horizontal="center" vertical="center" wrapText="1"/>
      <protection locked="0"/>
    </xf>
    <xf numFmtId="9" fontId="132" fillId="5" borderId="107" xfId="6" applyFont="1" applyFill="1" applyBorder="1" applyAlignment="1" applyProtection="1">
      <alignment horizontal="center" vertical="center" wrapText="1"/>
      <protection locked="0"/>
    </xf>
    <xf numFmtId="9" fontId="135" fillId="5" borderId="180" xfId="6" applyFont="1" applyFill="1" applyBorder="1" applyAlignment="1" applyProtection="1">
      <alignment horizontal="center" vertical="center" wrapText="1"/>
    </xf>
    <xf numFmtId="9" fontId="135" fillId="5" borderId="202" xfId="6" applyFont="1" applyFill="1" applyBorder="1" applyAlignment="1" applyProtection="1">
      <alignment horizontal="center" vertical="center" wrapText="1"/>
    </xf>
    <xf numFmtId="0" fontId="135" fillId="87" borderId="188" xfId="0" applyFont="1" applyFill="1" applyBorder="1" applyAlignment="1">
      <alignment horizontal="center" vertical="center" wrapText="1"/>
    </xf>
    <xf numFmtId="0" fontId="225" fillId="87" borderId="188" xfId="0" applyFont="1" applyFill="1" applyBorder="1" applyAlignment="1">
      <alignment horizontal="center" vertical="center" wrapText="1"/>
    </xf>
    <xf numFmtId="9" fontId="132" fillId="5" borderId="0" xfId="6" applyFont="1" applyFill="1" applyAlignment="1" applyProtection="1">
      <alignment horizontal="left" vertical="center" wrapText="1"/>
    </xf>
    <xf numFmtId="0" fontId="223" fillId="82" borderId="50" xfId="0" applyFont="1" applyFill="1" applyBorder="1" applyAlignment="1">
      <alignment horizontal="left" vertical="center" wrapText="1" indent="1"/>
    </xf>
    <xf numFmtId="0" fontId="223" fillId="82" borderId="45" xfId="0" applyFont="1" applyFill="1" applyBorder="1" applyAlignment="1">
      <alignment horizontal="left" vertical="center" wrapText="1" indent="1"/>
    </xf>
    <xf numFmtId="0" fontId="135" fillId="2" borderId="187" xfId="0" applyFont="1" applyFill="1" applyBorder="1" applyAlignment="1">
      <alignment horizontal="center" vertical="center" wrapText="1"/>
    </xf>
    <xf numFmtId="0" fontId="135" fillId="2" borderId="188" xfId="0" applyFont="1" applyFill="1" applyBorder="1" applyAlignment="1">
      <alignment horizontal="center" vertical="center" wrapText="1"/>
    </xf>
    <xf numFmtId="0" fontId="135" fillId="2" borderId="189" xfId="0" applyFont="1" applyFill="1" applyBorder="1" applyAlignment="1">
      <alignment horizontal="center" vertical="center" wrapText="1"/>
    </xf>
    <xf numFmtId="0" fontId="132" fillId="5" borderId="164" xfId="0" applyFont="1" applyFill="1" applyBorder="1" applyAlignment="1">
      <alignment horizontal="left" vertical="center" wrapText="1"/>
    </xf>
    <xf numFmtId="0" fontId="132" fillId="5" borderId="48" xfId="0" applyFont="1" applyFill="1" applyBorder="1" applyAlignment="1">
      <alignment horizontal="left" vertical="center" wrapText="1"/>
    </xf>
    <xf numFmtId="0" fontId="132" fillId="5" borderId="49" xfId="0" applyFont="1" applyFill="1" applyBorder="1" applyAlignment="1">
      <alignment horizontal="left" vertical="center" wrapText="1"/>
    </xf>
    <xf numFmtId="0" fontId="147" fillId="5" borderId="222" xfId="0" applyFont="1" applyFill="1" applyBorder="1" applyAlignment="1">
      <alignment horizontal="left" vertical="center" wrapText="1" indent="1"/>
    </xf>
    <xf numFmtId="0" fontId="147" fillId="5" borderId="124" xfId="0" applyFont="1" applyFill="1" applyBorder="1" applyAlignment="1">
      <alignment horizontal="left" vertical="center" wrapText="1" indent="1"/>
    </xf>
    <xf numFmtId="0" fontId="135" fillId="5" borderId="16" xfId="0" applyFont="1" applyFill="1" applyBorder="1" applyAlignment="1">
      <alignment horizontal="left" wrapText="1"/>
    </xf>
    <xf numFmtId="0" fontId="132" fillId="0" borderId="16" xfId="0" applyFont="1" applyBorder="1" applyAlignment="1">
      <alignment horizontal="left" vertical="top" wrapText="1" indent="1"/>
    </xf>
    <xf numFmtId="0" fontId="132" fillId="0" borderId="17" xfId="0" applyFont="1" applyBorder="1" applyAlignment="1">
      <alignment horizontal="left" vertical="top" wrapText="1" indent="1"/>
    </xf>
    <xf numFmtId="0" fontId="132" fillId="0" borderId="46" xfId="0" applyFont="1" applyBorder="1" applyAlignment="1">
      <alignment horizontal="left" vertical="top" wrapText="1" indent="1"/>
    </xf>
    <xf numFmtId="49" fontId="132" fillId="90" borderId="194" xfId="77" applyNumberFormat="1" applyFont="1" applyFill="1" applyBorder="1" applyAlignment="1" applyProtection="1">
      <alignment horizontal="left" vertical="top" wrapText="1"/>
    </xf>
    <xf numFmtId="49" fontId="132" fillId="90" borderId="12" xfId="77" applyNumberFormat="1" applyFont="1" applyFill="1" applyBorder="1" applyAlignment="1" applyProtection="1">
      <alignment horizontal="left" vertical="top" wrapText="1"/>
    </xf>
    <xf numFmtId="49" fontId="132" fillId="90" borderId="224" xfId="77" applyNumberFormat="1" applyFont="1" applyFill="1" applyBorder="1" applyAlignment="1" applyProtection="1">
      <alignment horizontal="left" vertical="top" wrapText="1"/>
    </xf>
    <xf numFmtId="0" fontId="135" fillId="5" borderId="164" xfId="0" applyFont="1" applyFill="1" applyBorder="1" applyAlignment="1">
      <alignment horizontal="center" wrapText="1"/>
    </xf>
    <xf numFmtId="0" fontId="145" fillId="92" borderId="159" xfId="0" applyFont="1" applyFill="1" applyBorder="1" applyAlignment="1">
      <alignment horizontal="left" vertical="center" wrapText="1"/>
    </xf>
    <xf numFmtId="0" fontId="145" fillId="92" borderId="160" xfId="0" applyFont="1" applyFill="1" applyBorder="1" applyAlignment="1">
      <alignment horizontal="left" vertical="center" wrapText="1"/>
    </xf>
    <xf numFmtId="0" fontId="160" fillId="5" borderId="133" xfId="0" applyFont="1" applyFill="1" applyBorder="1" applyAlignment="1">
      <alignment horizontal="left" vertical="center" wrapText="1"/>
    </xf>
    <xf numFmtId="0" fontId="160" fillId="5" borderId="216" xfId="0" applyFont="1" applyFill="1" applyBorder="1" applyAlignment="1">
      <alignment horizontal="left" vertical="center" wrapText="1"/>
    </xf>
    <xf numFmtId="0" fontId="145" fillId="89" borderId="132" xfId="0" applyFont="1" applyFill="1" applyBorder="1" applyAlignment="1">
      <alignment horizontal="left" vertical="center" wrapText="1"/>
    </xf>
    <xf numFmtId="0" fontId="145" fillId="89" borderId="74" xfId="0" applyFont="1" applyFill="1" applyBorder="1" applyAlignment="1">
      <alignment horizontal="left" vertical="center" wrapText="1"/>
    </xf>
    <xf numFmtId="0" fontId="145" fillId="93" borderId="77" xfId="0" applyFont="1" applyFill="1" applyBorder="1" applyAlignment="1">
      <alignment horizontal="center" wrapText="1"/>
    </xf>
    <xf numFmtId="0" fontId="145" fillId="93" borderId="4" xfId="0" applyFont="1" applyFill="1" applyBorder="1" applyAlignment="1">
      <alignment horizontal="center" wrapText="1"/>
    </xf>
    <xf numFmtId="0" fontId="159" fillId="90" borderId="77" xfId="0" applyFont="1" applyFill="1" applyBorder="1" applyAlignment="1">
      <alignment horizontal="center" wrapText="1"/>
    </xf>
    <xf numFmtId="0" fontId="159" fillId="90" borderId="4" xfId="0" applyFont="1" applyFill="1" applyBorder="1" applyAlignment="1">
      <alignment horizontal="center" wrapText="1"/>
    </xf>
    <xf numFmtId="0" fontId="159" fillId="90" borderId="78" xfId="0" applyFont="1" applyFill="1" applyBorder="1" applyAlignment="1">
      <alignment horizontal="center" wrapText="1"/>
    </xf>
    <xf numFmtId="0" fontId="132" fillId="5" borderId="77" xfId="0" applyFont="1" applyFill="1" applyBorder="1" applyAlignment="1" applyProtection="1">
      <alignment horizontal="left" vertical="top" wrapText="1"/>
      <protection locked="0"/>
    </xf>
    <xf numFmtId="0" fontId="132" fillId="5" borderId="4" xfId="0" applyFont="1" applyFill="1" applyBorder="1" applyAlignment="1" applyProtection="1">
      <alignment horizontal="left" vertical="top" wrapText="1"/>
      <protection locked="0"/>
    </xf>
    <xf numFmtId="0" fontId="132" fillId="5" borderId="78" xfId="0" applyFont="1" applyFill="1" applyBorder="1" applyAlignment="1" applyProtection="1">
      <alignment horizontal="left" vertical="top" wrapText="1"/>
      <protection locked="0"/>
    </xf>
    <xf numFmtId="0" fontId="161" fillId="94" borderId="161" xfId="0" applyFont="1" applyFill="1" applyBorder="1" applyAlignment="1">
      <alignment horizontal="left" indent="1"/>
    </xf>
    <xf numFmtId="0" fontId="161" fillId="94" borderId="220" xfId="0" applyFont="1" applyFill="1" applyBorder="1" applyAlignment="1">
      <alignment horizontal="left" indent="1"/>
    </xf>
    <xf numFmtId="0" fontId="132" fillId="5" borderId="136" xfId="0" applyFont="1" applyFill="1" applyBorder="1" applyAlignment="1">
      <alignment horizontal="center" vertical="center" wrapText="1"/>
    </xf>
    <xf numFmtId="0" fontId="132" fillId="5" borderId="162" xfId="0" applyFont="1" applyFill="1" applyBorder="1" applyAlignment="1">
      <alignment horizontal="center" vertical="center" wrapText="1"/>
    </xf>
    <xf numFmtId="0" fontId="132" fillId="5" borderId="163" xfId="0" applyFont="1" applyFill="1" applyBorder="1" applyAlignment="1">
      <alignment horizontal="center" vertical="center" wrapText="1"/>
    </xf>
    <xf numFmtId="0" fontId="132" fillId="0" borderId="39" xfId="0" applyFont="1" applyBorder="1" applyAlignment="1">
      <alignment horizontal="left" wrapText="1"/>
    </xf>
    <xf numFmtId="0" fontId="132" fillId="0" borderId="1" xfId="0" applyFont="1" applyBorder="1" applyAlignment="1">
      <alignment horizontal="left" wrapText="1"/>
    </xf>
    <xf numFmtId="167" fontId="132" fillId="95" borderId="2" xfId="77" applyNumberFormat="1" applyFont="1" applyFill="1" applyBorder="1" applyAlignment="1" applyProtection="1">
      <alignment horizontal="center" vertical="center" wrapText="1"/>
      <protection locked="0"/>
    </xf>
    <xf numFmtId="167" fontId="132" fillId="95" borderId="3" xfId="77" applyNumberFormat="1" applyFont="1" applyFill="1" applyBorder="1" applyAlignment="1" applyProtection="1">
      <alignment horizontal="center" vertical="center" wrapText="1"/>
      <protection locked="0"/>
    </xf>
    <xf numFmtId="9" fontId="147" fillId="119" borderId="2" xfId="6" applyFont="1" applyFill="1" applyBorder="1" applyAlignment="1" applyProtection="1">
      <alignment horizontal="center" vertical="center" wrapText="1"/>
      <protection locked="0"/>
    </xf>
    <xf numFmtId="9" fontId="147" fillId="119" borderId="3" xfId="6" applyFont="1" applyFill="1" applyBorder="1" applyAlignment="1" applyProtection="1">
      <alignment horizontal="center" vertical="center" wrapText="1"/>
      <protection locked="0"/>
    </xf>
    <xf numFmtId="0" fontId="135" fillId="87" borderId="180" xfId="0" applyFont="1" applyFill="1" applyBorder="1" applyAlignment="1">
      <alignment horizontal="center" vertical="center" wrapText="1"/>
    </xf>
    <xf numFmtId="9" fontId="132" fillId="5" borderId="180" xfId="6" applyFont="1" applyFill="1" applyBorder="1" applyAlignment="1" applyProtection="1">
      <alignment horizontal="center" wrapText="1"/>
      <protection locked="0"/>
    </xf>
    <xf numFmtId="9" fontId="132" fillId="5" borderId="202" xfId="6" applyFont="1" applyFill="1" applyBorder="1" applyAlignment="1" applyProtection="1">
      <alignment horizontal="center" wrapText="1"/>
      <protection locked="0"/>
    </xf>
    <xf numFmtId="9" fontId="132" fillId="5" borderId="112" xfId="6" applyFont="1" applyFill="1" applyBorder="1" applyAlignment="1" applyProtection="1">
      <alignment horizontal="center" wrapText="1"/>
      <protection locked="0"/>
    </xf>
    <xf numFmtId="9" fontId="132" fillId="5" borderId="113" xfId="6" applyFont="1" applyFill="1" applyBorder="1" applyAlignment="1" applyProtection="1">
      <alignment horizontal="center" wrapText="1"/>
      <protection locked="0"/>
    </xf>
    <xf numFmtId="9" fontId="132" fillId="5" borderId="114" xfId="6" applyFont="1" applyFill="1" applyBorder="1" applyAlignment="1" applyProtection="1">
      <alignment horizontal="center" wrapText="1"/>
      <protection locked="0"/>
    </xf>
    <xf numFmtId="0" fontId="145" fillId="71" borderId="132" xfId="0" applyFont="1" applyFill="1" applyBorder="1" applyAlignment="1">
      <alignment horizontal="left" vertical="center" wrapText="1"/>
    </xf>
    <xf numFmtId="0" fontId="145" fillId="71" borderId="74" xfId="0" applyFont="1" applyFill="1" applyBorder="1" applyAlignment="1">
      <alignment horizontal="left" vertical="center" wrapText="1"/>
    </xf>
    <xf numFmtId="0" fontId="145" fillId="91" borderId="157" xfId="0" applyFont="1" applyFill="1" applyBorder="1" applyAlignment="1">
      <alignment horizontal="left" vertical="center" wrapText="1"/>
    </xf>
    <xf numFmtId="0" fontId="145" fillId="91" borderId="215" xfId="0" applyFont="1" applyFill="1" applyBorder="1" applyAlignment="1">
      <alignment horizontal="left" vertical="center" wrapText="1"/>
    </xf>
    <xf numFmtId="0" fontId="145" fillId="86" borderId="158" xfId="0" applyFont="1" applyFill="1" applyBorder="1" applyAlignment="1">
      <alignment horizontal="left" vertical="center" wrapText="1"/>
    </xf>
    <xf numFmtId="0" fontId="145" fillId="86" borderId="204" xfId="0" applyFont="1" applyFill="1" applyBorder="1" applyAlignment="1">
      <alignment horizontal="left" vertical="center" wrapText="1"/>
    </xf>
    <xf numFmtId="0" fontId="155" fillId="88" borderId="131" xfId="0" applyFont="1" applyFill="1" applyBorder="1" applyAlignment="1">
      <alignment horizontal="left" vertical="center" wrapText="1"/>
    </xf>
    <xf numFmtId="0" fontId="155" fillId="88" borderId="182" xfId="0" applyFont="1" applyFill="1" applyBorder="1" applyAlignment="1">
      <alignment horizontal="left" vertical="center" wrapText="1"/>
    </xf>
    <xf numFmtId="0" fontId="145" fillId="0" borderId="16" xfId="0" applyFont="1" applyBorder="1" applyAlignment="1">
      <alignment horizontal="center" vertical="center" wrapText="1"/>
    </xf>
    <xf numFmtId="0" fontId="145" fillId="0" borderId="0" xfId="0" applyFont="1" applyAlignment="1">
      <alignment horizontal="center" vertical="center" wrapText="1"/>
    </xf>
    <xf numFmtId="0" fontId="145" fillId="0" borderId="33" xfId="0" applyFont="1" applyBorder="1" applyAlignment="1">
      <alignment horizontal="center" vertical="center" wrapText="1"/>
    </xf>
    <xf numFmtId="9" fontId="132" fillId="5" borderId="180" xfId="6" applyFont="1" applyFill="1" applyBorder="1" applyAlignment="1" applyProtection="1">
      <alignment horizontal="center" vertical="center" wrapText="1"/>
    </xf>
    <xf numFmtId="9" fontId="132" fillId="5" borderId="202" xfId="6" applyFont="1" applyFill="1" applyBorder="1" applyAlignment="1" applyProtection="1">
      <alignment horizontal="center" vertical="center" wrapText="1"/>
    </xf>
    <xf numFmtId="0" fontId="152" fillId="5" borderId="0" xfId="0" applyFont="1" applyFill="1" applyAlignment="1">
      <alignment horizontal="left" vertical="center" wrapText="1"/>
    </xf>
    <xf numFmtId="0" fontId="152" fillId="5" borderId="156" xfId="0" applyFont="1" applyFill="1" applyBorder="1" applyAlignment="1">
      <alignment horizontal="left" vertical="center" wrapText="1"/>
    </xf>
    <xf numFmtId="9" fontId="132" fillId="5" borderId="0" xfId="6" applyFont="1" applyFill="1" applyAlignment="1" applyProtection="1">
      <alignment horizontal="left" vertical="top" wrapText="1"/>
    </xf>
    <xf numFmtId="0" fontId="132" fillId="117" borderId="6" xfId="0" applyFont="1" applyFill="1" applyBorder="1" applyAlignment="1">
      <alignment horizontal="center" wrapText="1"/>
    </xf>
    <xf numFmtId="0" fontId="132" fillId="117" borderId="8" xfId="0" applyFont="1" applyFill="1" applyBorder="1" applyAlignment="1">
      <alignment horizontal="center" wrapText="1"/>
    </xf>
    <xf numFmtId="167" fontId="132" fillId="95" borderId="5" xfId="77" applyNumberFormat="1" applyFont="1" applyFill="1" applyBorder="1" applyAlignment="1" applyProtection="1">
      <alignment horizontal="center" vertical="center" wrapText="1"/>
    </xf>
    <xf numFmtId="167" fontId="132" fillId="95" borderId="7" xfId="77" applyNumberFormat="1" applyFont="1" applyFill="1" applyBorder="1" applyAlignment="1" applyProtection="1">
      <alignment horizontal="center" vertical="center" wrapText="1"/>
    </xf>
    <xf numFmtId="9" fontId="132" fillId="5" borderId="105" xfId="6" applyFont="1" applyFill="1" applyBorder="1" applyAlignment="1" applyProtection="1">
      <alignment horizontal="center" wrapText="1"/>
      <protection locked="0"/>
    </xf>
    <xf numFmtId="9" fontId="132" fillId="5" borderId="106" xfId="6" applyFont="1" applyFill="1" applyBorder="1" applyAlignment="1" applyProtection="1">
      <alignment horizontal="center" wrapText="1"/>
      <protection locked="0"/>
    </xf>
    <xf numFmtId="9" fontId="132" fillId="5" borderId="107" xfId="6" applyFont="1" applyFill="1" applyBorder="1" applyAlignment="1" applyProtection="1">
      <alignment horizontal="center" wrapText="1"/>
      <protection locked="0"/>
    </xf>
    <xf numFmtId="0" fontId="135" fillId="85" borderId="180" xfId="0" applyFont="1" applyFill="1" applyBorder="1" applyAlignment="1">
      <alignment horizontal="center" vertical="center" wrapText="1"/>
    </xf>
    <xf numFmtId="167" fontId="132" fillId="5" borderId="5" xfId="77" applyNumberFormat="1" applyFont="1" applyFill="1" applyBorder="1" applyAlignment="1" applyProtection="1">
      <alignment horizontal="center" vertical="center" wrapText="1"/>
    </xf>
    <xf numFmtId="167" fontId="132" fillId="5" borderId="7" xfId="77" applyNumberFormat="1" applyFont="1" applyFill="1" applyBorder="1" applyAlignment="1" applyProtection="1">
      <alignment horizontal="center" vertical="center" wrapText="1"/>
    </xf>
    <xf numFmtId="9" fontId="132" fillId="5" borderId="106" xfId="6" applyFont="1" applyFill="1" applyBorder="1" applyAlignment="1" applyProtection="1">
      <alignment horizontal="left" wrapText="1"/>
    </xf>
    <xf numFmtId="9" fontId="132" fillId="5" borderId="107" xfId="6" applyFont="1" applyFill="1" applyBorder="1" applyAlignment="1" applyProtection="1">
      <alignment horizontal="left" wrapText="1"/>
    </xf>
    <xf numFmtId="0" fontId="132" fillId="5" borderId="173" xfId="0" applyFont="1" applyFill="1" applyBorder="1" applyAlignment="1">
      <alignment horizontal="left" wrapText="1"/>
    </xf>
    <xf numFmtId="0" fontId="132" fillId="5" borderId="174" xfId="0" applyFont="1" applyFill="1" applyBorder="1" applyAlignment="1">
      <alignment horizontal="left" wrapText="1"/>
    </xf>
    <xf numFmtId="0" fontId="132" fillId="5" borderId="209" xfId="0" applyFont="1" applyFill="1" applyBorder="1" applyAlignment="1">
      <alignment horizontal="left" wrapText="1"/>
    </xf>
    <xf numFmtId="0" fontId="132" fillId="5" borderId="210" xfId="0" applyFont="1" applyFill="1" applyBorder="1" applyAlignment="1">
      <alignment horizontal="left" wrapText="1"/>
    </xf>
    <xf numFmtId="0" fontId="132" fillId="5" borderId="209" xfId="0" applyFont="1" applyFill="1" applyBorder="1" applyAlignment="1">
      <alignment horizontal="left"/>
    </xf>
    <xf numFmtId="0" fontId="132" fillId="5" borderId="210" xfId="0" applyFont="1" applyFill="1" applyBorder="1" applyAlignment="1">
      <alignment horizontal="left"/>
    </xf>
    <xf numFmtId="0" fontId="132" fillId="5" borderId="211" xfId="0" applyFont="1" applyFill="1" applyBorder="1" applyAlignment="1">
      <alignment horizontal="left" vertical="center" wrapText="1"/>
    </xf>
    <xf numFmtId="0" fontId="132" fillId="5" borderId="212" xfId="0" applyFont="1" applyFill="1" applyBorder="1" applyAlignment="1">
      <alignment horizontal="left" vertical="center" wrapText="1"/>
    </xf>
    <xf numFmtId="0" fontId="132" fillId="9" borderId="173" xfId="0" applyFont="1" applyFill="1" applyBorder="1" applyAlignment="1" applyProtection="1">
      <alignment horizontal="left" wrapText="1" indent="1"/>
      <protection locked="0"/>
    </xf>
    <xf numFmtId="0" fontId="132" fillId="9" borderId="174" xfId="0" applyFont="1" applyFill="1" applyBorder="1" applyAlignment="1" applyProtection="1">
      <alignment horizontal="left" wrapText="1" indent="1"/>
      <protection locked="0"/>
    </xf>
    <xf numFmtId="0" fontId="132" fillId="9" borderId="209" xfId="0" applyFont="1" applyFill="1" applyBorder="1" applyAlignment="1" applyProtection="1">
      <alignment horizontal="left" wrapText="1" indent="1"/>
      <protection locked="0"/>
    </xf>
    <xf numFmtId="0" fontId="132" fillId="9" borderId="210" xfId="0" applyFont="1" applyFill="1" applyBorder="1" applyAlignment="1" applyProtection="1">
      <alignment horizontal="left" wrapText="1" indent="1"/>
      <protection locked="0"/>
    </xf>
    <xf numFmtId="0" fontId="132" fillId="9" borderId="213" xfId="0" applyFont="1" applyFill="1" applyBorder="1" applyAlignment="1" applyProtection="1">
      <alignment horizontal="left" wrapText="1" indent="1"/>
      <protection locked="0"/>
    </xf>
    <xf numFmtId="0" fontId="132" fillId="9" borderId="214" xfId="0" applyFont="1" applyFill="1" applyBorder="1" applyAlignment="1" applyProtection="1">
      <alignment horizontal="left" wrapText="1" indent="1"/>
      <protection locked="0"/>
    </xf>
    <xf numFmtId="0" fontId="144" fillId="5" borderId="196" xfId="0" applyFont="1" applyFill="1" applyBorder="1" applyAlignment="1">
      <alignment horizontal="left" vertical="top" wrapText="1" indent="1"/>
    </xf>
    <xf numFmtId="0" fontId="144" fillId="5" borderId="207" xfId="0" applyFont="1" applyFill="1" applyBorder="1" applyAlignment="1">
      <alignment horizontal="left" vertical="top" wrapText="1" indent="1"/>
    </xf>
    <xf numFmtId="0" fontId="132" fillId="5" borderId="197" xfId="0" applyFont="1" applyFill="1" applyBorder="1" applyAlignment="1">
      <alignment horizontal="left" vertical="center" wrapText="1" indent="1"/>
    </xf>
    <xf numFmtId="0" fontId="132" fillId="5" borderId="208" xfId="0" applyFont="1" applyFill="1" applyBorder="1" applyAlignment="1">
      <alignment horizontal="left" vertical="center" wrapText="1" indent="1"/>
    </xf>
    <xf numFmtId="0" fontId="162" fillId="5" borderId="206" xfId="0" applyFont="1" applyFill="1" applyBorder="1" applyAlignment="1">
      <alignment horizontal="center" vertical="center" wrapText="1"/>
    </xf>
    <xf numFmtId="0" fontId="162" fillId="5" borderId="188" xfId="0" applyFont="1" applyFill="1" applyBorder="1" applyAlignment="1">
      <alignment horizontal="center" vertical="center" wrapText="1"/>
    </xf>
    <xf numFmtId="0" fontId="162" fillId="5" borderId="200" xfId="0" applyFont="1" applyFill="1" applyBorder="1" applyAlignment="1">
      <alignment horizontal="center" vertical="center" wrapText="1"/>
    </xf>
    <xf numFmtId="0" fontId="162" fillId="5" borderId="180" xfId="0" applyFont="1" applyFill="1" applyBorder="1" applyAlignment="1">
      <alignment horizontal="center" vertical="center" wrapText="1"/>
    </xf>
    <xf numFmtId="0" fontId="135" fillId="85" borderId="109" xfId="0" applyFont="1" applyFill="1" applyBorder="1" applyAlignment="1">
      <alignment horizontal="center" vertical="center" wrapText="1"/>
    </xf>
    <xf numFmtId="0" fontId="135" fillId="85" borderId="145" xfId="0" applyFont="1" applyFill="1" applyBorder="1" applyAlignment="1">
      <alignment horizontal="center" vertical="center" wrapText="1"/>
    </xf>
    <xf numFmtId="0" fontId="135" fillId="85" borderId="146" xfId="0" applyFont="1" applyFill="1" applyBorder="1" applyAlignment="1">
      <alignment horizontal="center" vertical="center" wrapText="1"/>
    </xf>
    <xf numFmtId="165" fontId="102" fillId="16" borderId="2" xfId="3" applyFont="1" applyFill="1" applyBorder="1" applyAlignment="1">
      <alignment horizontal="left" vertical="center"/>
    </xf>
    <xf numFmtId="165" fontId="102" fillId="16" borderId="3" xfId="3" applyFont="1" applyFill="1" applyBorder="1" applyAlignment="1">
      <alignment horizontal="left" vertical="center"/>
    </xf>
    <xf numFmtId="165" fontId="49" fillId="15" borderId="12" xfId="3" applyFont="1" applyFill="1" applyBorder="1" applyAlignment="1">
      <alignment horizontal="left"/>
    </xf>
    <xf numFmtId="165" fontId="49" fillId="15" borderId="0" xfId="3" applyFont="1" applyFill="1" applyAlignment="1">
      <alignment horizontal="left"/>
    </xf>
    <xf numFmtId="165" fontId="8" fillId="4" borderId="51" xfId="3" applyFont="1" applyFill="1" applyBorder="1" applyAlignment="1">
      <alignment horizontal="left" vertical="center" wrapText="1"/>
    </xf>
    <xf numFmtId="165" fontId="8" fillId="4" borderId="52" xfId="3" applyFont="1" applyFill="1" applyBorder="1" applyAlignment="1">
      <alignment horizontal="left" vertical="center" wrapText="1"/>
    </xf>
    <xf numFmtId="165" fontId="8" fillId="4" borderId="32" xfId="3" applyFont="1" applyFill="1" applyBorder="1" applyAlignment="1">
      <alignment horizontal="left" vertical="center" wrapText="1"/>
    </xf>
    <xf numFmtId="165" fontId="25" fillId="14" borderId="2" xfId="3" applyFont="1" applyFill="1" applyBorder="1" applyAlignment="1">
      <alignment horizontal="left" vertical="center" wrapText="1"/>
    </xf>
    <xf numFmtId="165" fontId="25" fillId="14" borderId="4" xfId="3" applyFont="1" applyFill="1" applyBorder="1" applyAlignment="1">
      <alignment horizontal="left" vertical="center" wrapText="1"/>
    </xf>
    <xf numFmtId="165" fontId="25" fillId="14" borderId="3" xfId="3" applyFont="1" applyFill="1" applyBorder="1" applyAlignment="1">
      <alignment horizontal="left" vertical="center" wrapText="1"/>
    </xf>
    <xf numFmtId="165" fontId="8" fillId="0" borderId="2" xfId="3" applyFont="1" applyBorder="1" applyAlignment="1">
      <alignment horizontal="left" vertical="center" wrapText="1"/>
    </xf>
    <xf numFmtId="165" fontId="8" fillId="0" borderId="4" xfId="3" applyFont="1" applyBorder="1" applyAlignment="1">
      <alignment horizontal="left" vertical="center" wrapText="1"/>
    </xf>
    <xf numFmtId="165" fontId="8" fillId="0" borderId="3" xfId="3" applyFont="1" applyBorder="1" applyAlignment="1">
      <alignment horizontal="left" vertical="center" wrapText="1"/>
    </xf>
    <xf numFmtId="165" fontId="101" fillId="4" borderId="2" xfId="3" applyFont="1" applyFill="1" applyBorder="1" applyAlignment="1">
      <alignment horizontal="left" vertical="center" wrapText="1"/>
    </xf>
    <xf numFmtId="165" fontId="101" fillId="4" borderId="4" xfId="3" applyFont="1" applyFill="1" applyBorder="1" applyAlignment="1">
      <alignment horizontal="left" vertical="center" wrapText="1"/>
    </xf>
    <xf numFmtId="165" fontId="101" fillId="4" borderId="3" xfId="3" applyFont="1" applyFill="1" applyBorder="1" applyAlignment="1">
      <alignment horizontal="left" vertical="center" wrapText="1"/>
    </xf>
    <xf numFmtId="165" fontId="102" fillId="16" borderId="2" xfId="3" applyFont="1" applyFill="1" applyBorder="1" applyAlignment="1" applyProtection="1">
      <alignment horizontal="left" vertical="center"/>
      <protection locked="0"/>
    </xf>
    <xf numFmtId="165" fontId="102" fillId="16" borderId="3" xfId="3" applyFont="1" applyFill="1" applyBorder="1" applyAlignment="1" applyProtection="1">
      <alignment horizontal="left" vertical="center"/>
      <protection locked="0"/>
    </xf>
    <xf numFmtId="165" fontId="49" fillId="15" borderId="2" xfId="3" applyFont="1" applyFill="1" applyBorder="1" applyAlignment="1">
      <alignment horizontal="left"/>
    </xf>
    <xf numFmtId="165" fontId="49" fillId="15" borderId="4" xfId="3" applyFont="1" applyFill="1" applyBorder="1" applyAlignment="1">
      <alignment horizontal="left"/>
    </xf>
    <xf numFmtId="165" fontId="49" fillId="15" borderId="3" xfId="3" applyFont="1" applyFill="1" applyBorder="1" applyAlignment="1">
      <alignment horizontal="left"/>
    </xf>
    <xf numFmtId="165" fontId="102" fillId="16" borderId="98" xfId="3" applyFont="1" applyFill="1" applyBorder="1" applyAlignment="1" applyProtection="1">
      <alignment horizontal="left" vertical="center"/>
      <protection locked="0"/>
    </xf>
    <xf numFmtId="165" fontId="102" fillId="16" borderId="142" xfId="3" applyFont="1" applyFill="1" applyBorder="1" applyAlignment="1" applyProtection="1">
      <alignment horizontal="left" vertical="center"/>
      <protection locked="0"/>
    </xf>
    <xf numFmtId="165" fontId="102" fillId="16" borderId="6" xfId="3" applyFont="1" applyFill="1" applyBorder="1" applyAlignment="1" applyProtection="1">
      <alignment horizontal="left" vertical="center"/>
      <protection locked="0"/>
    </xf>
    <xf numFmtId="165" fontId="102" fillId="16" borderId="59" xfId="3" applyFont="1" applyFill="1" applyBorder="1" applyAlignment="1" applyProtection="1">
      <alignment horizontal="left" vertical="center"/>
      <protection locked="0"/>
    </xf>
    <xf numFmtId="0" fontId="25" fillId="14" borderId="2" xfId="3" applyNumberFormat="1" applyFont="1" applyFill="1" applyBorder="1" applyAlignment="1">
      <alignment horizontal="left" vertical="center" wrapText="1"/>
    </xf>
    <xf numFmtId="0" fontId="25" fillId="14" borderId="4" xfId="3" applyNumberFormat="1" applyFont="1" applyFill="1" applyBorder="1" applyAlignment="1">
      <alignment horizontal="left" vertical="center" wrapText="1"/>
    </xf>
    <xf numFmtId="0" fontId="25" fillId="14" borderId="3" xfId="3" applyNumberFormat="1" applyFont="1" applyFill="1" applyBorder="1" applyAlignment="1">
      <alignment horizontal="left" vertical="center" wrapText="1"/>
    </xf>
    <xf numFmtId="165" fontId="28" fillId="4" borderId="2" xfId="3" applyFont="1" applyFill="1" applyBorder="1" applyAlignment="1">
      <alignment horizontal="left" vertical="center" wrapText="1"/>
    </xf>
    <xf numFmtId="165" fontId="28" fillId="4" borderId="3" xfId="3" applyFont="1" applyFill="1" applyBorder="1" applyAlignment="1">
      <alignment horizontal="left" vertical="center" wrapText="1"/>
    </xf>
    <xf numFmtId="165" fontId="1" fillId="14" borderId="2" xfId="3" applyFont="1" applyFill="1" applyBorder="1" applyAlignment="1">
      <alignment horizontal="left" vertical="center" wrapText="1"/>
    </xf>
    <xf numFmtId="165" fontId="1" fillId="14" borderId="4" xfId="3" applyFont="1" applyFill="1" applyBorder="1" applyAlignment="1">
      <alignment horizontal="left" vertical="center" wrapText="1"/>
    </xf>
    <xf numFmtId="165" fontId="1" fillId="14" borderId="3" xfId="3" applyFont="1" applyFill="1" applyBorder="1" applyAlignment="1">
      <alignment horizontal="left" vertical="center" wrapText="1"/>
    </xf>
    <xf numFmtId="165" fontId="50" fillId="16" borderId="2" xfId="3" applyFont="1" applyFill="1" applyBorder="1" applyAlignment="1" applyProtection="1">
      <alignment horizontal="left" vertical="center"/>
      <protection locked="0"/>
    </xf>
    <xf numFmtId="165" fontId="50" fillId="16" borderId="3" xfId="3" applyFont="1" applyFill="1" applyBorder="1" applyAlignment="1" applyProtection="1">
      <alignment horizontal="left" vertical="center"/>
      <protection locked="0"/>
    </xf>
    <xf numFmtId="165" fontId="28" fillId="4" borderId="51" xfId="3" applyFont="1" applyFill="1" applyBorder="1" applyAlignment="1">
      <alignment horizontal="left" vertical="center" wrapText="1"/>
    </xf>
    <xf numFmtId="165" fontId="28" fillId="4" borderId="32" xfId="3" applyFont="1" applyFill="1" applyBorder="1" applyAlignment="1">
      <alignment horizontal="left" vertical="center" wrapText="1"/>
    </xf>
    <xf numFmtId="165" fontId="165" fillId="15" borderId="12" xfId="3" applyFont="1" applyFill="1" applyBorder="1" applyAlignment="1">
      <alignment horizontal="left"/>
    </xf>
    <xf numFmtId="165" fontId="165" fillId="15" borderId="0" xfId="3" applyFont="1" applyFill="1" applyAlignment="1">
      <alignment horizontal="left"/>
    </xf>
    <xf numFmtId="165" fontId="23" fillId="0" borderId="2" xfId="3" applyFont="1" applyBorder="1" applyAlignment="1">
      <alignment horizontal="left" vertical="center" wrapText="1"/>
    </xf>
    <xf numFmtId="165" fontId="23" fillId="0" borderId="4" xfId="3" applyFont="1" applyBorder="1" applyAlignment="1">
      <alignment horizontal="left" vertical="center" wrapText="1"/>
    </xf>
    <xf numFmtId="165" fontId="23" fillId="0" borderId="3" xfId="3" applyFont="1" applyBorder="1" applyAlignment="1">
      <alignment horizontal="left" vertical="center" wrapText="1"/>
    </xf>
    <xf numFmtId="165" fontId="23" fillId="0" borderId="2" xfId="3" applyFont="1" applyBorder="1" applyAlignment="1">
      <alignment horizontal="left" wrapText="1"/>
    </xf>
    <xf numFmtId="165" fontId="23" fillId="0" borderId="4" xfId="3" applyFont="1" applyBorder="1" applyAlignment="1">
      <alignment horizontal="left" wrapText="1"/>
    </xf>
    <xf numFmtId="165" fontId="23" fillId="0" borderId="3" xfId="3" applyFont="1" applyBorder="1" applyAlignment="1">
      <alignment horizontal="left" wrapText="1"/>
    </xf>
    <xf numFmtId="165" fontId="20" fillId="4" borderId="51" xfId="3" applyFont="1" applyFill="1" applyBorder="1" applyAlignment="1">
      <alignment horizontal="left" vertical="center" wrapText="1"/>
    </xf>
    <xf numFmtId="165" fontId="20" fillId="4" borderId="32" xfId="3" applyFont="1" applyFill="1" applyBorder="1" applyAlignment="1">
      <alignment horizontal="left" vertical="center" wrapText="1"/>
    </xf>
    <xf numFmtId="165" fontId="20" fillId="70" borderId="51" xfId="3" applyFont="1" applyFill="1" applyBorder="1" applyAlignment="1">
      <alignment horizontal="left" vertical="center" wrapText="1"/>
    </xf>
    <xf numFmtId="165" fontId="20" fillId="70" borderId="52" xfId="3" applyFont="1" applyFill="1" applyBorder="1" applyAlignment="1">
      <alignment horizontal="left" vertical="center" wrapText="1"/>
    </xf>
    <xf numFmtId="165" fontId="20" fillId="70" borderId="32" xfId="3" applyFont="1" applyFill="1" applyBorder="1" applyAlignment="1">
      <alignment horizontal="left" vertical="center" wrapText="1"/>
    </xf>
    <xf numFmtId="165" fontId="20" fillId="4" borderId="52" xfId="3" applyFont="1" applyFill="1" applyBorder="1" applyAlignment="1">
      <alignment horizontal="left" vertical="center" wrapText="1"/>
    </xf>
    <xf numFmtId="165" fontId="1" fillId="14" borderId="77" xfId="3" applyFont="1" applyFill="1" applyBorder="1" applyAlignment="1">
      <alignment horizontal="left" vertical="center" wrapText="1"/>
    </xf>
    <xf numFmtId="165" fontId="49" fillId="15" borderId="0" xfId="3" applyFont="1" applyFill="1" applyBorder="1" applyAlignment="1">
      <alignment horizontal="left"/>
    </xf>
    <xf numFmtId="165" fontId="9" fillId="0" borderId="2" xfId="3" applyFont="1" applyBorder="1" applyAlignment="1">
      <alignment horizontal="left" vertical="center" wrapText="1"/>
    </xf>
    <xf numFmtId="165" fontId="9" fillId="0" borderId="4" xfId="3" applyFont="1" applyBorder="1" applyAlignment="1">
      <alignment horizontal="left" vertical="center" wrapText="1"/>
    </xf>
    <xf numFmtId="165" fontId="9" fillId="0" borderId="3" xfId="3" applyFont="1" applyBorder="1" applyAlignment="1">
      <alignment horizontal="left" vertical="center" wrapText="1"/>
    </xf>
    <xf numFmtId="165" fontId="102" fillId="16" borderId="38" xfId="3" applyFont="1" applyFill="1" applyBorder="1" applyAlignment="1" applyProtection="1">
      <alignment horizontal="left" vertical="center"/>
      <protection locked="0"/>
    </xf>
    <xf numFmtId="165" fontId="71" fillId="73" borderId="23" xfId="3" applyFont="1" applyFill="1" applyBorder="1" applyAlignment="1" applyProtection="1">
      <alignment horizontal="left" vertical="center" wrapText="1"/>
    </xf>
    <xf numFmtId="165" fontId="71" fillId="73" borderId="40" xfId="3" applyFont="1" applyFill="1" applyBorder="1" applyAlignment="1" applyProtection="1">
      <alignment horizontal="left" vertical="center" wrapText="1"/>
    </xf>
    <xf numFmtId="165" fontId="175" fillId="98" borderId="12" xfId="3" applyFont="1" applyFill="1" applyBorder="1" applyAlignment="1">
      <alignment horizontal="left"/>
    </xf>
    <xf numFmtId="165" fontId="175" fillId="98" borderId="0" xfId="3" applyFont="1" applyFill="1" applyAlignment="1">
      <alignment horizontal="left"/>
    </xf>
    <xf numFmtId="165" fontId="169" fillId="98" borderId="0" xfId="3" applyFont="1" applyFill="1" applyAlignment="1">
      <alignment horizontal="left" vertical="center" wrapText="1"/>
    </xf>
    <xf numFmtId="165" fontId="49" fillId="15" borderId="2" xfId="3" applyFont="1" applyFill="1" applyBorder="1" applyAlignment="1">
      <alignment horizontal="left" vertical="center" wrapText="1"/>
    </xf>
    <xf numFmtId="165" fontId="49" fillId="15" borderId="4" xfId="3" applyFont="1" applyFill="1" applyBorder="1" applyAlignment="1">
      <alignment horizontal="left" vertical="center" wrapText="1"/>
    </xf>
    <xf numFmtId="165" fontId="102" fillId="16" borderId="6" xfId="3" applyFont="1" applyFill="1" applyBorder="1" applyAlignment="1">
      <alignment horizontal="left" vertical="center"/>
    </xf>
    <xf numFmtId="165" fontId="102" fillId="16" borderId="59" xfId="3" applyFont="1" applyFill="1" applyBorder="1" applyAlignment="1">
      <alignment horizontal="left" vertical="center"/>
    </xf>
    <xf numFmtId="165" fontId="191" fillId="0" borderId="12" xfId="3" applyFont="1" applyBorder="1" applyAlignment="1">
      <alignment horizontal="left" vertical="center" wrapText="1" indent="1"/>
    </xf>
    <xf numFmtId="165" fontId="191" fillId="0" borderId="0" xfId="3" applyFont="1" applyAlignment="1">
      <alignment horizontal="left" vertical="center" wrapText="1" indent="1"/>
    </xf>
    <xf numFmtId="165" fontId="193" fillId="0" borderId="12" xfId="3" applyFont="1" applyBorder="1" applyAlignment="1">
      <alignment horizontal="left" vertical="center" wrapText="1" indent="1"/>
    </xf>
    <xf numFmtId="165" fontId="193" fillId="0" borderId="0" xfId="3" applyFont="1" applyAlignment="1">
      <alignment horizontal="left" vertical="center" wrapText="1" indent="1"/>
    </xf>
    <xf numFmtId="165" fontId="101" fillId="4" borderId="2" xfId="3" applyFont="1" applyFill="1" applyBorder="1" applyAlignment="1">
      <alignment vertical="center" wrapText="1"/>
    </xf>
    <xf numFmtId="165" fontId="101" fillId="4" borderId="4" xfId="3" applyFont="1" applyFill="1" applyBorder="1" applyAlignment="1">
      <alignment vertical="center" wrapText="1"/>
    </xf>
    <xf numFmtId="165" fontId="101" fillId="4" borderId="3" xfId="3" applyFont="1" applyFill="1" applyBorder="1" applyAlignment="1">
      <alignment vertical="center" wrapText="1"/>
    </xf>
    <xf numFmtId="165" fontId="167" fillId="98" borderId="12" xfId="3" applyFont="1" applyFill="1" applyBorder="1" applyAlignment="1">
      <alignment horizontal="left"/>
    </xf>
    <xf numFmtId="165" fontId="167" fillId="98" borderId="0" xfId="3" applyFont="1" applyFill="1" applyAlignment="1">
      <alignment horizontal="left"/>
    </xf>
    <xf numFmtId="165" fontId="167" fillId="98" borderId="13" xfId="3" applyFont="1" applyFill="1" applyBorder="1" applyAlignment="1">
      <alignment horizontal="left"/>
    </xf>
    <xf numFmtId="0" fontId="200" fillId="0" borderId="12" xfId="3" applyNumberFormat="1" applyFont="1" applyBorder="1" applyAlignment="1">
      <alignment horizontal="left" vertical="center" wrapText="1"/>
    </xf>
    <xf numFmtId="0" fontId="200" fillId="0" borderId="0" xfId="3" applyNumberFormat="1" applyFont="1" applyAlignment="1">
      <alignment horizontal="left" vertical="center" wrapText="1"/>
    </xf>
    <xf numFmtId="165" fontId="49" fillId="105" borderId="12" xfId="3" applyFont="1" applyFill="1" applyBorder="1" applyAlignment="1">
      <alignment horizontal="left"/>
    </xf>
    <xf numFmtId="165" fontId="49" fillId="105" borderId="0" xfId="3" applyFont="1" applyFill="1" applyBorder="1" applyAlignment="1">
      <alignment horizontal="left"/>
    </xf>
    <xf numFmtId="165" fontId="20" fillId="8" borderId="12" xfId="3" applyFont="1" applyFill="1" applyBorder="1" applyAlignment="1">
      <alignment horizontal="left" vertical="center" wrapText="1"/>
    </xf>
    <xf numFmtId="165" fontId="20" fillId="8" borderId="0" xfId="3" applyFont="1" applyFill="1" applyBorder="1" applyAlignment="1">
      <alignment horizontal="left" vertical="center" wrapText="1"/>
    </xf>
    <xf numFmtId="165" fontId="165" fillId="15" borderId="0" xfId="3" applyFont="1" applyFill="1" applyBorder="1" applyAlignment="1">
      <alignment horizontal="left"/>
    </xf>
    <xf numFmtId="165" fontId="50" fillId="16" borderId="77" xfId="3" applyFont="1" applyFill="1" applyBorder="1" applyAlignment="1" applyProtection="1">
      <alignment horizontal="left" vertical="center"/>
      <protection locked="0"/>
    </xf>
    <xf numFmtId="165" fontId="20" fillId="8" borderId="6" xfId="3" applyFont="1" applyFill="1" applyBorder="1" applyAlignment="1">
      <alignment horizontal="left" vertical="center" wrapText="1"/>
    </xf>
    <xf numFmtId="165" fontId="20" fillId="8" borderId="38" xfId="3" applyFont="1" applyFill="1" applyBorder="1" applyAlignment="1">
      <alignment horizontal="left" vertical="center" wrapText="1"/>
    </xf>
    <xf numFmtId="165" fontId="25" fillId="2" borderId="5" xfId="3" applyFont="1" applyFill="1" applyBorder="1" applyAlignment="1" applyProtection="1">
      <alignment horizontal="left" vertical="top"/>
      <protection locked="0"/>
    </xf>
    <xf numFmtId="165" fontId="25" fillId="2" borderId="11" xfId="3" applyFont="1" applyFill="1" applyBorder="1" applyAlignment="1" applyProtection="1">
      <alignment horizontal="left" vertical="top"/>
      <protection locked="0"/>
    </xf>
    <xf numFmtId="165" fontId="25" fillId="2" borderId="7" xfId="3" applyFont="1" applyFill="1" applyBorder="1" applyAlignment="1" applyProtection="1">
      <alignment horizontal="left" vertical="top"/>
      <protection locked="0"/>
    </xf>
    <xf numFmtId="165" fontId="25" fillId="2" borderId="5" xfId="3" applyFont="1" applyFill="1" applyBorder="1" applyAlignment="1" applyProtection="1">
      <alignment horizontal="left" vertical="center"/>
      <protection locked="0"/>
    </xf>
    <xf numFmtId="165" fontId="25" fillId="2" borderId="11" xfId="3" applyFont="1" applyFill="1" applyBorder="1" applyAlignment="1" applyProtection="1">
      <alignment horizontal="left" vertical="center"/>
      <protection locked="0"/>
    </xf>
    <xf numFmtId="165" fontId="25" fillId="2" borderId="7" xfId="3" applyFont="1" applyFill="1" applyBorder="1" applyAlignment="1" applyProtection="1">
      <alignment horizontal="left" vertical="center"/>
      <protection locked="0"/>
    </xf>
    <xf numFmtId="165" fontId="101" fillId="8" borderId="2" xfId="3" applyFont="1" applyFill="1" applyBorder="1" applyAlignment="1">
      <alignment horizontal="left" vertical="center"/>
    </xf>
    <xf numFmtId="165" fontId="101" fillId="8" borderId="3" xfId="3" applyFont="1" applyFill="1" applyBorder="1" applyAlignment="1">
      <alignment horizontal="left" vertical="center"/>
    </xf>
    <xf numFmtId="165" fontId="23" fillId="13" borderId="6" xfId="3" applyFont="1" applyFill="1" applyBorder="1" applyAlignment="1">
      <alignment horizontal="left" vertical="center" wrapText="1"/>
    </xf>
    <xf numFmtId="165" fontId="23" fillId="13" borderId="59" xfId="3" applyFont="1" applyFill="1" applyBorder="1" applyAlignment="1">
      <alignment horizontal="left" vertical="center" wrapText="1"/>
    </xf>
    <xf numFmtId="165" fontId="23" fillId="13" borderId="8" xfId="3" applyFont="1" applyFill="1" applyBorder="1" applyAlignment="1">
      <alignment horizontal="left" vertical="center" wrapText="1"/>
    </xf>
    <xf numFmtId="165" fontId="23" fillId="13" borderId="9" xfId="3" applyFont="1" applyFill="1" applyBorder="1" applyAlignment="1">
      <alignment horizontal="left" vertical="center" wrapText="1"/>
    </xf>
    <xf numFmtId="165" fontId="20" fillId="4" borderId="2" xfId="3" applyFont="1" applyFill="1" applyBorder="1" applyAlignment="1">
      <alignment horizontal="left" vertical="center" wrapText="1"/>
    </xf>
    <xf numFmtId="165" fontId="20" fillId="4" borderId="4" xfId="3" applyFont="1" applyFill="1" applyBorder="1" applyAlignment="1">
      <alignment horizontal="left" vertical="center" wrapText="1"/>
    </xf>
    <xf numFmtId="165" fontId="20" fillId="4" borderId="3" xfId="3" applyFont="1" applyFill="1" applyBorder="1" applyAlignment="1">
      <alignment horizontal="left" vertical="center" wrapText="1"/>
    </xf>
    <xf numFmtId="165" fontId="20" fillId="13" borderId="21" xfId="3" applyFont="1" applyFill="1" applyBorder="1" applyAlignment="1">
      <alignment horizontal="left" vertical="center"/>
    </xf>
    <xf numFmtId="165" fontId="20" fillId="13" borderId="50" xfId="3" applyFont="1" applyFill="1" applyBorder="1" applyAlignment="1">
      <alignment horizontal="left" vertical="center"/>
    </xf>
    <xf numFmtId="165" fontId="20" fillId="13" borderId="45" xfId="3" applyFont="1" applyFill="1" applyBorder="1" applyAlignment="1">
      <alignment horizontal="left" vertical="center"/>
    </xf>
    <xf numFmtId="165" fontId="23" fillId="13" borderId="47" xfId="3" applyFont="1" applyFill="1" applyBorder="1" applyAlignment="1">
      <alignment horizontal="left" vertical="center" wrapText="1"/>
    </xf>
    <xf numFmtId="165" fontId="23" fillId="13" borderId="49" xfId="3" applyFont="1" applyFill="1" applyBorder="1" applyAlignment="1">
      <alignment horizontal="left" vertical="center" wrapText="1"/>
    </xf>
    <xf numFmtId="165" fontId="23" fillId="13" borderId="165" xfId="3" applyFont="1" applyFill="1" applyBorder="1" applyAlignment="1">
      <alignment horizontal="left" vertical="center" wrapText="1"/>
    </xf>
    <xf numFmtId="165" fontId="23" fillId="13" borderId="149" xfId="3" applyFont="1" applyFill="1" applyBorder="1" applyAlignment="1">
      <alignment horizontal="left" vertical="center" wrapText="1"/>
    </xf>
    <xf numFmtId="165" fontId="23" fillId="13" borderId="23" xfId="3" applyFont="1" applyFill="1" applyBorder="1" applyAlignment="1">
      <alignment horizontal="left" vertical="center" wrapText="1"/>
    </xf>
    <xf numFmtId="165" fontId="23" fillId="13" borderId="40" xfId="3" applyFont="1" applyFill="1" applyBorder="1" applyAlignment="1">
      <alignment horizontal="left" vertical="center" wrapText="1"/>
    </xf>
    <xf numFmtId="165" fontId="95" fillId="0" borderId="0" xfId="3" applyFont="1" applyBorder="1" applyAlignment="1">
      <alignment horizontal="left" vertical="center" wrapText="1"/>
    </xf>
    <xf numFmtId="165" fontId="95" fillId="0" borderId="0" xfId="3" applyFont="1" applyAlignment="1">
      <alignment horizontal="left" vertical="center" wrapText="1"/>
    </xf>
    <xf numFmtId="165" fontId="20" fillId="7" borderId="12" xfId="3" applyFont="1" applyFill="1" applyBorder="1" applyAlignment="1">
      <alignment horizontal="left" vertical="center" wrapText="1"/>
    </xf>
    <xf numFmtId="165" fontId="20" fillId="7" borderId="0" xfId="3" applyFont="1" applyFill="1" applyAlignment="1">
      <alignment horizontal="left" vertical="center" wrapText="1"/>
    </xf>
    <xf numFmtId="165" fontId="20" fillId="7" borderId="6" xfId="3" applyFont="1" applyFill="1" applyBorder="1" applyAlignment="1">
      <alignment horizontal="left" vertical="center" wrapText="1"/>
    </xf>
    <xf numFmtId="165" fontId="20" fillId="7" borderId="38" xfId="3" applyFont="1" applyFill="1" applyBorder="1" applyAlignment="1">
      <alignment horizontal="left" vertical="center" wrapText="1"/>
    </xf>
    <xf numFmtId="165" fontId="20" fillId="7" borderId="59" xfId="3" applyFont="1" applyFill="1" applyBorder="1" applyAlignment="1">
      <alignment horizontal="left" vertical="center" wrapText="1"/>
    </xf>
    <xf numFmtId="165" fontId="97" fillId="15" borderId="2" xfId="3" applyFont="1" applyFill="1" applyBorder="1" applyAlignment="1">
      <alignment horizontal="left"/>
    </xf>
    <xf numFmtId="165" fontId="97" fillId="15" borderId="4" xfId="3" applyFont="1" applyFill="1" applyBorder="1" applyAlignment="1">
      <alignment horizontal="left"/>
    </xf>
    <xf numFmtId="165" fontId="20" fillId="7" borderId="0" xfId="3" applyFont="1" applyFill="1" applyBorder="1" applyAlignment="1">
      <alignment horizontal="left" vertical="center" wrapText="1"/>
    </xf>
    <xf numFmtId="165" fontId="0" fillId="14" borderId="2" xfId="3" applyFont="1" applyFill="1" applyBorder="1" applyAlignment="1">
      <alignment horizontal="left" vertical="center" wrapText="1"/>
    </xf>
    <xf numFmtId="165" fontId="0" fillId="14" borderId="4" xfId="3" applyFont="1" applyFill="1" applyBorder="1" applyAlignment="1">
      <alignment horizontal="left" vertical="center" wrapText="1"/>
    </xf>
    <xf numFmtId="165" fontId="0" fillId="14" borderId="3" xfId="3" applyFont="1" applyFill="1" applyBorder="1" applyAlignment="1">
      <alignment horizontal="left" vertical="center" wrapText="1"/>
    </xf>
    <xf numFmtId="165" fontId="0" fillId="14" borderId="77" xfId="3" applyFont="1" applyFill="1" applyBorder="1" applyAlignment="1">
      <alignment horizontal="left" vertical="center" wrapText="1"/>
    </xf>
    <xf numFmtId="165" fontId="20" fillId="4" borderId="2" xfId="3" applyFont="1" applyFill="1" applyBorder="1" applyAlignment="1">
      <alignment horizontal="left"/>
    </xf>
    <xf numFmtId="165" fontId="20" fillId="4" borderId="3" xfId="3" applyFont="1" applyFill="1" applyBorder="1" applyAlignment="1">
      <alignment horizontal="left"/>
    </xf>
    <xf numFmtId="165" fontId="108" fillId="16" borderId="6" xfId="3" applyFont="1" applyFill="1" applyBorder="1" applyAlignment="1">
      <alignment horizontal="left" vertical="center"/>
    </xf>
    <xf numFmtId="165" fontId="108" fillId="16" borderId="59" xfId="3" applyFont="1" applyFill="1" applyBorder="1" applyAlignment="1">
      <alignment horizontal="left" vertical="center"/>
    </xf>
    <xf numFmtId="165" fontId="20" fillId="4" borderId="2" xfId="3" applyFont="1" applyFill="1" applyBorder="1" applyAlignment="1">
      <alignment horizontal="left" wrapText="1"/>
    </xf>
    <xf numFmtId="165" fontId="20" fillId="4" borderId="3" xfId="3" applyFont="1" applyFill="1" applyBorder="1" applyAlignment="1">
      <alignment horizontal="left" wrapText="1"/>
    </xf>
    <xf numFmtId="165" fontId="16" fillId="0" borderId="0" xfId="3" applyFont="1" applyAlignment="1">
      <alignment horizontal="left" vertical="center"/>
    </xf>
    <xf numFmtId="165" fontId="6" fillId="14" borderId="77" xfId="3" applyFont="1" applyFill="1" applyBorder="1" applyAlignment="1">
      <alignment horizontal="left" vertical="center" wrapText="1"/>
    </xf>
    <xf numFmtId="165" fontId="6" fillId="14" borderId="4" xfId="3" applyFont="1" applyFill="1" applyBorder="1" applyAlignment="1">
      <alignment horizontal="left" vertical="center" wrapText="1"/>
    </xf>
    <xf numFmtId="165" fontId="6" fillId="14" borderId="3" xfId="3" applyFont="1" applyFill="1" applyBorder="1" applyAlignment="1">
      <alignment horizontal="left" vertical="center" wrapText="1"/>
    </xf>
    <xf numFmtId="165" fontId="25" fillId="0" borderId="0" xfId="3" applyFont="1" applyAlignment="1">
      <alignment horizontal="left" vertical="center"/>
    </xf>
    <xf numFmtId="0" fontId="8" fillId="0" borderId="102" xfId="0" applyFont="1" applyBorder="1"/>
    <xf numFmtId="0" fontId="8" fillId="0" borderId="119" xfId="0" applyFont="1" applyBorder="1"/>
    <xf numFmtId="0" fontId="8" fillId="0" borderId="121" xfId="0" applyFont="1" applyBorder="1"/>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20" fillId="0" borderId="10" xfId="0" applyFont="1" applyBorder="1"/>
    <xf numFmtId="0" fontId="8" fillId="63" borderId="102" xfId="0" applyFont="1" applyFill="1" applyBorder="1" applyAlignment="1">
      <alignment vertical="center" wrapText="1"/>
    </xf>
    <xf numFmtId="0" fontId="8" fillId="63" borderId="119" xfId="0" applyFont="1" applyFill="1" applyBorder="1" applyAlignment="1">
      <alignment vertical="center" wrapText="1"/>
    </xf>
    <xf numFmtId="0" fontId="8" fillId="63" borderId="121" xfId="0" applyFont="1" applyFill="1" applyBorder="1" applyAlignment="1">
      <alignment vertical="center" wrapText="1"/>
    </xf>
    <xf numFmtId="0" fontId="1" fillId="65" borderId="102" xfId="0" applyFont="1" applyFill="1" applyBorder="1"/>
    <xf numFmtId="0" fontId="1" fillId="65" borderId="121" xfId="0" applyFont="1" applyFill="1" applyBorder="1"/>
    <xf numFmtId="0" fontId="1" fillId="64" borderId="102" xfId="0" applyFont="1" applyFill="1" applyBorder="1"/>
    <xf numFmtId="0" fontId="1" fillId="64" borderId="121" xfId="0" applyFont="1" applyFill="1" applyBorder="1"/>
    <xf numFmtId="166" fontId="102" fillId="16" borderId="2" xfId="0" applyNumberFormat="1" applyFont="1" applyFill="1" applyBorder="1" applyAlignment="1" applyProtection="1">
      <alignment vertical="center"/>
      <protection locked="0"/>
    </xf>
    <xf numFmtId="166" fontId="102" fillId="16" borderId="3" xfId="0" applyNumberFormat="1" applyFont="1" applyFill="1" applyBorder="1" applyAlignment="1" applyProtection="1">
      <alignment vertical="center"/>
      <protection locked="0"/>
    </xf>
    <xf numFmtId="0" fontId="1" fillId="14" borderId="77" xfId="0" applyFont="1" applyFill="1" applyBorder="1" applyAlignment="1">
      <alignment vertical="top" wrapText="1"/>
    </xf>
    <xf numFmtId="0" fontId="1" fillId="14" borderId="4" xfId="0" applyFont="1" applyFill="1" applyBorder="1" applyAlignment="1">
      <alignment vertical="top" wrapText="1"/>
    </xf>
    <xf numFmtId="0" fontId="1" fillId="14" borderId="3" xfId="0" applyFont="1" applyFill="1" applyBorder="1" applyAlignment="1">
      <alignment vertical="top" wrapText="1"/>
    </xf>
    <xf numFmtId="0" fontId="114" fillId="3" borderId="21" xfId="0" applyFont="1" applyFill="1" applyBorder="1" applyAlignment="1">
      <alignment horizontal="left"/>
    </xf>
    <xf numFmtId="0" fontId="114" fillId="3" borderId="50" xfId="0" applyFont="1" applyFill="1" applyBorder="1" applyAlignment="1">
      <alignment horizontal="left"/>
    </xf>
    <xf numFmtId="0" fontId="114" fillId="3" borderId="45" xfId="0" applyFont="1" applyFill="1" applyBorder="1" applyAlignment="1">
      <alignment horizontal="left"/>
    </xf>
    <xf numFmtId="0" fontId="6" fillId="4" borderId="60" xfId="0" applyFont="1" applyFill="1" applyBorder="1" applyAlignment="1">
      <alignment vertical="top" wrapText="1"/>
    </xf>
    <xf numFmtId="0" fontId="39" fillId="71" borderId="60" xfId="0" applyFont="1" applyFill="1" applyBorder="1" applyAlignment="1">
      <alignment horizontal="left"/>
    </xf>
    <xf numFmtId="0" fontId="39" fillId="71" borderId="61" xfId="0" applyFont="1" applyFill="1" applyBorder="1" applyAlignment="1">
      <alignment horizontal="left"/>
    </xf>
    <xf numFmtId="0" fontId="39" fillId="71" borderId="62" xfId="0" applyFont="1" applyFill="1" applyBorder="1" applyAlignment="1">
      <alignment horizontal="left"/>
    </xf>
    <xf numFmtId="0" fontId="6" fillId="72" borderId="60" xfId="0" applyFont="1" applyFill="1" applyBorder="1" applyAlignment="1">
      <alignment horizontal="left" vertical="top"/>
    </xf>
    <xf numFmtId="0" fontId="6" fillId="72" borderId="61" xfId="0" applyFont="1" applyFill="1" applyBorder="1" applyAlignment="1">
      <alignment horizontal="left" vertical="top"/>
    </xf>
    <xf numFmtId="0" fontId="6" fillId="72" borderId="63" xfId="0" applyFont="1" applyFill="1" applyBorder="1" applyAlignment="1">
      <alignment horizontal="left" vertical="top"/>
    </xf>
    <xf numFmtId="0" fontId="6" fillId="72" borderId="64" xfId="0" applyFont="1" applyFill="1" applyBorder="1" applyAlignment="1">
      <alignment horizontal="left" vertical="top"/>
    </xf>
    <xf numFmtId="0" fontId="6" fillId="4" borderId="64" xfId="0" applyFont="1" applyFill="1" applyBorder="1" applyAlignment="1">
      <alignment horizontal="center" vertical="center" wrapText="1"/>
    </xf>
    <xf numFmtId="0" fontId="6" fillId="4" borderId="0" xfId="0" applyFont="1" applyFill="1" applyAlignment="1">
      <alignment horizontal="center" vertical="center" wrapText="1"/>
    </xf>
    <xf numFmtId="0" fontId="78" fillId="59" borderId="17" xfId="0" applyFont="1" applyFill="1" applyBorder="1" applyAlignment="1">
      <alignment vertical="center" wrapText="1"/>
    </xf>
    <xf numFmtId="0" fontId="78" fillId="59" borderId="46" xfId="0" applyFont="1" applyFill="1" applyBorder="1" applyAlignment="1">
      <alignment vertical="center" wrapText="1"/>
    </xf>
    <xf numFmtId="0" fontId="78" fillId="59" borderId="34" xfId="0" applyFont="1" applyFill="1" applyBorder="1" applyAlignment="1">
      <alignment vertical="center" wrapText="1"/>
    </xf>
    <xf numFmtId="0" fontId="78" fillId="59" borderId="35" xfId="0" applyFont="1" applyFill="1" applyBorder="1" applyAlignment="1">
      <alignment vertical="center" wrapText="1"/>
    </xf>
    <xf numFmtId="0" fontId="78" fillId="59" borderId="37" xfId="0" applyFont="1" applyFill="1" applyBorder="1" applyAlignment="1">
      <alignment vertical="center" wrapText="1"/>
    </xf>
    <xf numFmtId="0" fontId="73" fillId="59" borderId="47" xfId="0" applyFont="1" applyFill="1" applyBorder="1" applyAlignment="1">
      <alignment vertical="center" wrapText="1"/>
    </xf>
    <xf numFmtId="0" fontId="73" fillId="59" borderId="48" xfId="0" applyFont="1" applyFill="1" applyBorder="1" applyAlignment="1">
      <alignment vertical="center" wrapText="1"/>
    </xf>
    <xf numFmtId="0" fontId="73" fillId="59" borderId="49" xfId="0" applyFont="1" applyFill="1" applyBorder="1" applyAlignment="1">
      <alignment vertical="center" wrapText="1"/>
    </xf>
    <xf numFmtId="0" fontId="126" fillId="70" borderId="86" xfId="0" applyFont="1" applyFill="1" applyBorder="1" applyAlignment="1">
      <alignment horizontal="center" vertical="center" wrapText="1"/>
    </xf>
    <xf numFmtId="0" fontId="126" fillId="70" borderId="87" xfId="0" applyFont="1" applyFill="1" applyBorder="1" applyAlignment="1">
      <alignment horizontal="center" vertical="center" wrapText="1"/>
    </xf>
    <xf numFmtId="0" fontId="126" fillId="70" borderId="85" xfId="0" applyFont="1" applyFill="1" applyBorder="1" applyAlignment="1">
      <alignment horizontal="center" vertical="center" wrapText="1"/>
    </xf>
    <xf numFmtId="0" fontId="126" fillId="70" borderId="90" xfId="0" applyFont="1" applyFill="1" applyBorder="1" applyAlignment="1">
      <alignment horizontal="center" vertical="center" wrapText="1"/>
    </xf>
    <xf numFmtId="0" fontId="126" fillId="70" borderId="0" xfId="0" applyFont="1" applyFill="1" applyAlignment="1">
      <alignment horizontal="center" vertical="center" wrapText="1"/>
    </xf>
    <xf numFmtId="0" fontId="126" fillId="70" borderId="89" xfId="0" applyFont="1" applyFill="1" applyBorder="1" applyAlignment="1">
      <alignment horizontal="center" vertical="center" wrapText="1"/>
    </xf>
    <xf numFmtId="0" fontId="126" fillId="70" borderId="91" xfId="0" applyFont="1" applyFill="1" applyBorder="1" applyAlignment="1">
      <alignment horizontal="center" vertical="center" wrapText="1"/>
    </xf>
    <xf numFmtId="0" fontId="126" fillId="70" borderId="92" xfId="0" applyFont="1" applyFill="1" applyBorder="1" applyAlignment="1">
      <alignment horizontal="center" vertical="center" wrapText="1"/>
    </xf>
    <xf numFmtId="0" fontId="126" fillId="70" borderId="93" xfId="0" applyFont="1" applyFill="1" applyBorder="1" applyAlignment="1">
      <alignment horizontal="center" vertical="center" wrapText="1"/>
    </xf>
    <xf numFmtId="0" fontId="6" fillId="4" borderId="65" xfId="0" applyFont="1" applyFill="1" applyBorder="1" applyAlignment="1">
      <alignment horizontal="left" vertical="top" wrapText="1"/>
    </xf>
    <xf numFmtId="0" fontId="6" fillId="4" borderId="67" xfId="0" applyFont="1" applyFill="1" applyBorder="1" applyAlignment="1">
      <alignment horizontal="left" vertical="top" wrapText="1"/>
    </xf>
    <xf numFmtId="0" fontId="6" fillId="4" borderId="70" xfId="0" applyFont="1" applyFill="1" applyBorder="1" applyAlignment="1">
      <alignment horizontal="left" vertical="top"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7" xfId="0" applyFont="1" applyBorder="1" applyAlignment="1">
      <alignment horizontal="center" vertical="center"/>
    </xf>
    <xf numFmtId="0" fontId="46" fillId="15" borderId="2" xfId="0" applyFont="1" applyFill="1" applyBorder="1" applyAlignment="1">
      <alignment horizontal="center"/>
    </xf>
    <xf numFmtId="0" fontId="46" fillId="15" borderId="4" xfId="0" applyFont="1" applyFill="1" applyBorder="1" applyAlignment="1">
      <alignment horizontal="center"/>
    </xf>
    <xf numFmtId="0" fontId="46" fillId="15" borderId="3" xfId="0" applyFont="1" applyFill="1" applyBorder="1" applyAlignment="1">
      <alignment horizontal="center"/>
    </xf>
    <xf numFmtId="0" fontId="13" fillId="72" borderId="79" xfId="0" applyFont="1" applyFill="1" applyBorder="1" applyAlignment="1">
      <alignment horizontal="left" vertical="top"/>
    </xf>
    <xf numFmtId="0" fontId="13" fillId="72" borderId="80" xfId="0" applyFont="1" applyFill="1" applyBorder="1" applyAlignment="1">
      <alignment horizontal="left" vertical="top"/>
    </xf>
    <xf numFmtId="0" fontId="0" fillId="8" borderId="2" xfId="0" applyFill="1" applyBorder="1" applyAlignment="1">
      <alignment horizontal="center" vertical="center" wrapText="1"/>
    </xf>
    <xf numFmtId="0" fontId="0" fillId="8" borderId="4" xfId="0" applyFill="1" applyBorder="1" applyAlignment="1">
      <alignment horizontal="center" vertical="center" wrapText="1"/>
    </xf>
    <xf numFmtId="0" fontId="0" fillId="8" borderId="3" xfId="0"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3" xfId="0" applyFont="1" applyFill="1" applyBorder="1" applyAlignment="1">
      <alignment horizontal="center" vertical="center" wrapText="1"/>
    </xf>
    <xf numFmtId="4" fontId="13" fillId="0" borderId="2" xfId="0" applyNumberFormat="1" applyFont="1" applyBorder="1" applyAlignment="1">
      <alignment horizontal="center" vertical="center" wrapText="1"/>
    </xf>
    <xf numFmtId="4" fontId="13" fillId="0" borderId="4" xfId="0"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6" fillId="4" borderId="2"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3" xfId="0" applyFont="1" applyFill="1" applyBorder="1" applyAlignment="1">
      <alignment horizontal="left" vertical="top" wrapText="1"/>
    </xf>
    <xf numFmtId="0" fontId="13" fillId="4" borderId="2" xfId="0" applyFont="1" applyFill="1" applyBorder="1" applyAlignment="1">
      <alignment horizontal="left"/>
    </xf>
    <xf numFmtId="0" fontId="13" fillId="4" borderId="4" xfId="0" applyFont="1" applyFill="1" applyBorder="1" applyAlignment="1">
      <alignment horizontal="left"/>
    </xf>
    <xf numFmtId="0" fontId="13" fillId="4" borderId="3" xfId="0" applyFont="1" applyFill="1" applyBorder="1" applyAlignment="1">
      <alignment horizontal="left"/>
    </xf>
    <xf numFmtId="0" fontId="89" fillId="0" borderId="0" xfId="1" applyFont="1" applyBorder="1" applyAlignment="1">
      <alignment vertical="top" wrapText="1"/>
    </xf>
    <xf numFmtId="0" fontId="39" fillId="71" borderId="8" xfId="0" applyFont="1" applyFill="1" applyBorder="1" applyAlignment="1">
      <alignment horizontal="left"/>
    </xf>
    <xf numFmtId="0" fontId="39" fillId="71" borderId="10" xfId="0" applyFont="1" applyFill="1" applyBorder="1" applyAlignment="1">
      <alignment horizontal="left"/>
    </xf>
    <xf numFmtId="0" fontId="39" fillId="71" borderId="9" xfId="0" applyFont="1" applyFill="1" applyBorder="1" applyAlignment="1">
      <alignment horizontal="left"/>
    </xf>
    <xf numFmtId="0" fontId="6" fillId="72" borderId="2" xfId="0" applyFont="1" applyFill="1" applyBorder="1" applyAlignment="1">
      <alignment horizontal="left" vertical="top"/>
    </xf>
    <xf numFmtId="0" fontId="6" fillId="72" borderId="3" xfId="0" applyFont="1" applyFill="1" applyBorder="1" applyAlignment="1">
      <alignment horizontal="left" vertical="top"/>
    </xf>
    <xf numFmtId="0" fontId="6" fillId="72" borderId="5" xfId="0" applyFont="1" applyFill="1" applyBorder="1" applyAlignment="1">
      <alignment horizontal="left" vertical="top"/>
    </xf>
    <xf numFmtId="0" fontId="6" fillId="72" borderId="7" xfId="0" applyFont="1" applyFill="1" applyBorder="1" applyAlignment="1">
      <alignment horizontal="left" vertical="top"/>
    </xf>
    <xf numFmtId="0" fontId="6" fillId="72" borderId="5" xfId="0" applyFont="1" applyFill="1" applyBorder="1" applyAlignment="1">
      <alignment horizontal="left" vertical="top" wrapText="1"/>
    </xf>
    <xf numFmtId="0" fontId="6" fillId="72" borderId="7" xfId="0" applyFont="1" applyFill="1" applyBorder="1" applyAlignment="1">
      <alignment horizontal="left" vertical="top" wrapText="1"/>
    </xf>
    <xf numFmtId="0" fontId="6" fillId="70" borderId="35" xfId="0" applyFont="1" applyFill="1" applyBorder="1" applyAlignment="1">
      <alignment vertical="center" wrapText="1"/>
    </xf>
    <xf numFmtId="0" fontId="6" fillId="70" borderId="36" xfId="0" applyFont="1" applyFill="1" applyBorder="1" applyAlignment="1">
      <alignment vertical="center" wrapText="1"/>
    </xf>
    <xf numFmtId="0" fontId="6" fillId="70" borderId="37" xfId="0" applyFont="1" applyFill="1" applyBorder="1" applyAlignment="1">
      <alignment vertical="center" wrapText="1"/>
    </xf>
    <xf numFmtId="0" fontId="177" fillId="15" borderId="2" xfId="0" applyFont="1" applyFill="1" applyBorder="1" applyAlignment="1">
      <alignment horizontal="left"/>
    </xf>
    <xf numFmtId="0" fontId="177" fillId="15" borderId="4" xfId="0" applyFont="1" applyFill="1" applyBorder="1" applyAlignment="1">
      <alignment horizontal="left"/>
    </xf>
    <xf numFmtId="0" fontId="177" fillId="15" borderId="3" xfId="0" applyFont="1" applyFill="1" applyBorder="1" applyAlignment="1">
      <alignment horizontal="left"/>
    </xf>
    <xf numFmtId="0" fontId="0" fillId="64" borderId="102" xfId="0" applyFill="1" applyBorder="1" applyAlignment="1">
      <alignment horizontal="center"/>
    </xf>
    <xf numFmtId="0" fontId="0" fillId="64" borderId="121" xfId="0" applyFill="1" applyBorder="1" applyAlignment="1">
      <alignment horizontal="center"/>
    </xf>
    <xf numFmtId="0" fontId="6" fillId="0" borderId="102" xfId="0" applyFont="1" applyBorder="1" applyAlignment="1">
      <alignment horizontal="center"/>
    </xf>
    <xf numFmtId="0" fontId="6" fillId="0" borderId="119" xfId="0" applyFont="1" applyBorder="1" applyAlignment="1">
      <alignment horizontal="center"/>
    </xf>
    <xf numFmtId="0" fontId="6" fillId="0" borderId="121" xfId="0" applyFont="1" applyBorder="1" applyAlignment="1">
      <alignment horizontal="center"/>
    </xf>
    <xf numFmtId="0" fontId="17" fillId="0" borderId="6" xfId="1" applyFont="1" applyBorder="1" applyAlignment="1">
      <alignment horizontal="center" wrapText="1"/>
    </xf>
    <xf numFmtId="0" fontId="17" fillId="0" borderId="38" xfId="1" applyFont="1" applyBorder="1" applyAlignment="1">
      <alignment horizontal="center" wrapText="1"/>
    </xf>
    <xf numFmtId="0" fontId="20" fillId="0" borderId="10" xfId="0" applyFont="1" applyBorder="1" applyAlignment="1">
      <alignment horizontal="left"/>
    </xf>
    <xf numFmtId="0" fontId="6" fillId="63" borderId="102" xfId="0" applyFont="1" applyFill="1" applyBorder="1" applyAlignment="1">
      <alignment horizontal="center" vertical="center" wrapText="1"/>
    </xf>
    <xf numFmtId="0" fontId="6" fillId="63" borderId="119" xfId="0" applyFont="1" applyFill="1" applyBorder="1" applyAlignment="1">
      <alignment horizontal="center" vertical="center" wrapText="1"/>
    </xf>
    <xf numFmtId="0" fontId="6" fillId="63" borderId="121" xfId="0" applyFont="1" applyFill="1" applyBorder="1" applyAlignment="1">
      <alignment horizontal="center" vertical="center" wrapText="1"/>
    </xf>
    <xf numFmtId="0" fontId="0" fillId="65" borderId="102" xfId="0" applyFill="1" applyBorder="1" applyAlignment="1">
      <alignment horizontal="center"/>
    </xf>
    <xf numFmtId="0" fontId="0" fillId="65" borderId="121" xfId="0" applyFill="1" applyBorder="1" applyAlignment="1">
      <alignment horizontal="center"/>
    </xf>
    <xf numFmtId="0" fontId="5" fillId="7" borderId="2" xfId="0" applyFont="1" applyFill="1" applyBorder="1" applyAlignment="1">
      <alignment horizontal="center"/>
    </xf>
    <xf numFmtId="0" fontId="5" fillId="7" borderId="4" xfId="0" applyFont="1" applyFill="1" applyBorder="1" applyAlignment="1">
      <alignment horizontal="center"/>
    </xf>
    <xf numFmtId="0" fontId="5" fillId="7" borderId="3" xfId="0" applyFont="1" applyFill="1" applyBorder="1" applyAlignment="1">
      <alignment horizontal="center"/>
    </xf>
    <xf numFmtId="0" fontId="6" fillId="0" borderId="0" xfId="0" applyFont="1" applyAlignment="1">
      <alignment horizontal="left" wrapText="1"/>
    </xf>
    <xf numFmtId="0" fontId="17" fillId="0" borderId="0" xfId="0" applyFont="1" applyAlignment="1">
      <alignment horizontal="left" vertical="center" wrapText="1"/>
    </xf>
    <xf numFmtId="0" fontId="31" fillId="0" borderId="0" xfId="0" applyFont="1" applyAlignment="1">
      <alignment horizontal="left"/>
    </xf>
    <xf numFmtId="0" fontId="0" fillId="0" borderId="2" xfId="0" applyBorder="1" applyAlignment="1">
      <alignment horizontal="right"/>
    </xf>
    <xf numFmtId="0" fontId="0" fillId="0" borderId="4" xfId="0" applyBorder="1" applyAlignment="1">
      <alignment horizontal="right"/>
    </xf>
    <xf numFmtId="0" fontId="0" fillId="0" borderId="3" xfId="0" applyBorder="1" applyAlignment="1">
      <alignment horizontal="right"/>
    </xf>
    <xf numFmtId="0" fontId="126" fillId="80" borderId="35" xfId="0" applyFont="1" applyFill="1" applyBorder="1" applyAlignment="1">
      <alignment horizontal="center" vertical="center" wrapText="1"/>
    </xf>
    <xf numFmtId="0" fontId="126" fillId="80" borderId="37" xfId="0" applyFont="1" applyFill="1" applyBorder="1" applyAlignment="1">
      <alignment horizontal="center" vertical="center" wrapText="1"/>
    </xf>
    <xf numFmtId="0" fontId="126" fillId="70" borderId="84" xfId="0" applyFont="1" applyFill="1" applyBorder="1" applyAlignment="1">
      <alignment horizontal="center" vertical="center" wrapText="1"/>
    </xf>
    <xf numFmtId="0" fontId="126" fillId="70" borderId="88" xfId="0" applyFont="1" applyFill="1" applyBorder="1" applyAlignment="1">
      <alignment horizontal="center" vertical="center" wrapText="1"/>
    </xf>
    <xf numFmtId="0" fontId="126" fillId="70" borderId="94" xfId="0" applyFont="1" applyFill="1" applyBorder="1" applyAlignment="1">
      <alignment horizontal="center" vertical="center" wrapText="1"/>
    </xf>
    <xf numFmtId="0" fontId="78" fillId="59" borderId="16" xfId="0" applyFont="1" applyFill="1" applyBorder="1" applyAlignment="1">
      <alignment vertical="center" wrapText="1"/>
    </xf>
    <xf numFmtId="0" fontId="78" fillId="59" borderId="0" xfId="0" applyFont="1" applyFill="1" applyAlignment="1">
      <alignment vertical="center" wrapText="1"/>
    </xf>
    <xf numFmtId="0" fontId="78" fillId="59" borderId="33" xfId="0" applyFont="1" applyFill="1" applyBorder="1" applyAlignment="1">
      <alignment vertical="center" wrapText="1"/>
    </xf>
    <xf numFmtId="0" fontId="6" fillId="61" borderId="36" xfId="0" applyFont="1" applyFill="1" applyBorder="1" applyAlignment="1">
      <alignment horizontal="center" vertical="center" wrapText="1"/>
    </xf>
    <xf numFmtId="0" fontId="6" fillId="61" borderId="37" xfId="0" applyFont="1" applyFill="1" applyBorder="1" applyAlignment="1">
      <alignment horizontal="center" vertical="center" wrapText="1"/>
    </xf>
    <xf numFmtId="0" fontId="78" fillId="59" borderId="21" xfId="0" applyFont="1" applyFill="1" applyBorder="1" applyAlignment="1">
      <alignment vertical="center" wrapText="1"/>
    </xf>
    <xf numFmtId="0" fontId="78" fillId="59" borderId="50" xfId="0" applyFont="1" applyFill="1" applyBorder="1" applyAlignment="1">
      <alignment vertical="center" wrapText="1"/>
    </xf>
    <xf numFmtId="0" fontId="78" fillId="59" borderId="45" xfId="0" applyFont="1" applyFill="1" applyBorder="1" applyAlignment="1">
      <alignment vertical="center" wrapText="1"/>
    </xf>
    <xf numFmtId="0" fontId="73" fillId="59" borderId="16" xfId="0" applyFont="1" applyFill="1" applyBorder="1" applyAlignment="1">
      <alignment vertical="center" wrapText="1"/>
    </xf>
    <xf numFmtId="0" fontId="73" fillId="59" borderId="0" xfId="0" applyFont="1" applyFill="1" applyAlignment="1">
      <alignment vertical="center" wrapText="1"/>
    </xf>
    <xf numFmtId="0" fontId="73" fillId="59" borderId="33" xfId="0" applyFont="1" applyFill="1" applyBorder="1" applyAlignment="1">
      <alignment vertical="center" wrapText="1"/>
    </xf>
    <xf numFmtId="0" fontId="39" fillId="71" borderId="62" xfId="0" applyFont="1" applyFill="1" applyBorder="1" applyAlignment="1">
      <alignment horizontal="center"/>
    </xf>
    <xf numFmtId="0" fontId="39" fillId="71" borderId="74" xfId="0" applyFont="1" applyFill="1" applyBorder="1" applyAlignment="1">
      <alignment horizontal="center"/>
    </xf>
    <xf numFmtId="0" fontId="39" fillId="71" borderId="60" xfId="0" applyFont="1" applyFill="1" applyBorder="1" applyAlignment="1">
      <alignment horizontal="center"/>
    </xf>
    <xf numFmtId="0" fontId="6" fillId="72" borderId="74" xfId="0" applyFont="1" applyFill="1" applyBorder="1" applyAlignment="1">
      <alignment horizontal="left" vertical="top"/>
    </xf>
    <xf numFmtId="0" fontId="6" fillId="4" borderId="65" xfId="0" applyFont="1" applyFill="1" applyBorder="1" applyAlignment="1">
      <alignment horizontal="left" vertical="center" wrapText="1"/>
    </xf>
    <xf numFmtId="0" fontId="6" fillId="4" borderId="67" xfId="0" applyFont="1" applyFill="1" applyBorder="1" applyAlignment="1">
      <alignment horizontal="left" vertical="center" wrapText="1"/>
    </xf>
    <xf numFmtId="0" fontId="46" fillId="15" borderId="6" xfId="0" applyFont="1" applyFill="1" applyBorder="1" applyAlignment="1">
      <alignment horizontal="center"/>
    </xf>
    <xf numFmtId="0" fontId="46" fillId="15" borderId="38" xfId="0" applyFont="1" applyFill="1" applyBorder="1" applyAlignment="1">
      <alignment horizontal="center"/>
    </xf>
    <xf numFmtId="0" fontId="46" fillId="15" borderId="59" xfId="0" applyFont="1" applyFill="1" applyBorder="1" applyAlignment="1">
      <alignment horizontal="center"/>
    </xf>
    <xf numFmtId="2" fontId="4" fillId="4" borderId="21" xfId="74" applyNumberFormat="1" applyFont="1" applyFill="1" applyBorder="1" applyAlignment="1">
      <alignment horizontal="center" vertical="center"/>
    </xf>
    <xf numFmtId="2" fontId="4" fillId="4" borderId="50" xfId="74" applyNumberFormat="1" applyFont="1" applyFill="1" applyBorder="1" applyAlignment="1">
      <alignment horizontal="center" vertical="center"/>
    </xf>
    <xf numFmtId="2" fontId="4" fillId="4" borderId="45" xfId="74" applyNumberFormat="1" applyFont="1" applyFill="1" applyBorder="1" applyAlignment="1">
      <alignment horizontal="center" vertical="center"/>
    </xf>
    <xf numFmtId="0" fontId="212" fillId="110" borderId="57" xfId="0" applyFont="1" applyFill="1" applyBorder="1" applyAlignment="1">
      <alignment horizontal="left" vertical="top"/>
    </xf>
    <xf numFmtId="0" fontId="213" fillId="111" borderId="57" xfId="0" applyFont="1" applyFill="1" applyBorder="1" applyAlignment="1">
      <alignment horizontal="left" vertical="top"/>
    </xf>
    <xf numFmtId="0" fontId="213" fillId="112" borderId="57" xfId="0" applyFont="1" applyFill="1" applyBorder="1" applyAlignment="1">
      <alignment horizontal="left" vertical="top"/>
    </xf>
    <xf numFmtId="0" fontId="6" fillId="76" borderId="60" xfId="0" applyFont="1" applyFill="1" applyBorder="1" applyAlignment="1">
      <alignment horizontal="left" vertical="top"/>
    </xf>
    <xf numFmtId="0" fontId="6" fillId="76" borderId="61" xfId="0" applyFont="1" applyFill="1" applyBorder="1" applyAlignment="1">
      <alignment horizontal="left" vertical="top"/>
    </xf>
    <xf numFmtId="0" fontId="39" fillId="76" borderId="61" xfId="0" applyFont="1" applyFill="1" applyBorder="1" applyAlignment="1">
      <alignment horizontal="left" vertical="top"/>
    </xf>
    <xf numFmtId="0" fontId="78" fillId="59" borderId="47" xfId="0" applyFont="1" applyFill="1" applyBorder="1" applyAlignment="1">
      <alignment vertical="center" wrapText="1"/>
    </xf>
    <xf numFmtId="0" fontId="78" fillId="59" borderId="48" xfId="0" applyFont="1" applyFill="1" applyBorder="1" applyAlignment="1">
      <alignment vertical="center" wrapText="1"/>
    </xf>
    <xf numFmtId="0" fontId="78" fillId="59" borderId="49" xfId="0" applyFont="1" applyFill="1" applyBorder="1" applyAlignment="1">
      <alignment vertical="center" wrapText="1"/>
    </xf>
    <xf numFmtId="0" fontId="6" fillId="5" borderId="0" xfId="0" applyFont="1" applyFill="1" applyAlignment="1">
      <alignment horizontal="left" vertical="center" wrapText="1"/>
    </xf>
    <xf numFmtId="0" fontId="177" fillId="15" borderId="6" xfId="0" applyFont="1" applyFill="1" applyBorder="1" applyAlignment="1">
      <alignment horizontal="left"/>
    </xf>
    <xf numFmtId="0" fontId="177" fillId="15" borderId="38" xfId="0" applyFont="1" applyFill="1" applyBorder="1" applyAlignment="1">
      <alignment horizontal="left"/>
    </xf>
    <xf numFmtId="0" fontId="177" fillId="15" borderId="59" xfId="0" applyFont="1" applyFill="1" applyBorder="1" applyAlignment="1">
      <alignment horizontal="left"/>
    </xf>
    <xf numFmtId="0" fontId="114" fillId="3" borderId="47" xfId="0" applyFont="1" applyFill="1" applyBorder="1" applyAlignment="1">
      <alignment horizontal="left"/>
    </xf>
    <xf numFmtId="0" fontId="114" fillId="3" borderId="49" xfId="0" applyFont="1" applyFill="1" applyBorder="1" applyAlignment="1">
      <alignment horizontal="left"/>
    </xf>
    <xf numFmtId="0" fontId="6" fillId="72" borderId="62" xfId="0" applyFont="1" applyFill="1" applyBorder="1" applyAlignment="1">
      <alignment horizontal="left" vertical="top"/>
    </xf>
    <xf numFmtId="0" fontId="16" fillId="0" borderId="61" xfId="0" applyFont="1" applyBorder="1" applyAlignment="1">
      <alignment horizontal="left" vertical="top" wrapText="1"/>
    </xf>
    <xf numFmtId="0" fontId="16" fillId="0" borderId="62" xfId="0" applyFont="1" applyBorder="1" applyAlignment="1">
      <alignment horizontal="left" vertical="top" wrapText="1"/>
    </xf>
    <xf numFmtId="169" fontId="6" fillId="4" borderId="1" xfId="0" applyNumberFormat="1" applyFont="1" applyFill="1" applyBorder="1" applyAlignment="1">
      <alignment horizontal="right" vertical="top"/>
    </xf>
    <xf numFmtId="169" fontId="6" fillId="4" borderId="2" xfId="0" applyNumberFormat="1" applyFont="1" applyFill="1" applyBorder="1" applyAlignment="1">
      <alignment horizontal="right" vertical="top"/>
    </xf>
    <xf numFmtId="169" fontId="6" fillId="4" borderId="3" xfId="0" applyNumberFormat="1" applyFont="1" applyFill="1" applyBorder="1" applyAlignment="1">
      <alignment horizontal="right" vertical="top"/>
    </xf>
    <xf numFmtId="0" fontId="6" fillId="72" borderId="65" xfId="0" applyFont="1" applyFill="1" applyBorder="1" applyAlignment="1">
      <alignment horizontal="left" vertical="top"/>
    </xf>
    <xf numFmtId="0" fontId="6" fillId="72" borderId="71" xfId="0" applyFont="1" applyFill="1" applyBorder="1" applyAlignment="1">
      <alignment horizontal="left" vertical="top"/>
    </xf>
    <xf numFmtId="0" fontId="117" fillId="0" borderId="0" xfId="0" applyFont="1" applyAlignment="1">
      <alignment wrapText="1"/>
    </xf>
    <xf numFmtId="0" fontId="117" fillId="0" borderId="69" xfId="0" applyFont="1" applyBorder="1" applyAlignment="1">
      <alignment wrapText="1"/>
    </xf>
    <xf numFmtId="0" fontId="39" fillId="76" borderId="63" xfId="0" applyFont="1" applyFill="1" applyBorder="1" applyAlignment="1">
      <alignment horizontal="left" vertical="top"/>
    </xf>
    <xf numFmtId="0" fontId="39" fillId="76" borderId="62" xfId="0" applyFont="1" applyFill="1" applyBorder="1" applyAlignment="1">
      <alignment horizontal="left" vertical="top"/>
    </xf>
    <xf numFmtId="0" fontId="6" fillId="4" borderId="59" xfId="0" applyFont="1" applyFill="1" applyBorder="1" applyAlignment="1">
      <alignment vertical="top" wrapText="1"/>
    </xf>
    <xf numFmtId="0" fontId="6" fillId="4" borderId="13" xfId="0" applyFont="1" applyFill="1" applyBorder="1" applyAlignment="1">
      <alignment vertical="top" wrapText="1"/>
    </xf>
    <xf numFmtId="0" fontId="6" fillId="4" borderId="73" xfId="0" applyFont="1" applyFill="1" applyBorder="1" applyAlignment="1">
      <alignment vertical="top" wrapText="1"/>
    </xf>
    <xf numFmtId="0" fontId="39" fillId="71" borderId="69" xfId="0" applyFont="1" applyFill="1" applyBorder="1" applyAlignment="1">
      <alignment horizontal="left"/>
    </xf>
    <xf numFmtId="0" fontId="6" fillId="4" borderId="72" xfId="0" applyFont="1" applyFill="1" applyBorder="1" applyAlignment="1">
      <alignment vertical="top" wrapText="1"/>
    </xf>
    <xf numFmtId="0" fontId="6" fillId="4" borderId="9" xfId="0" applyFont="1" applyFill="1" applyBorder="1" applyAlignment="1">
      <alignment vertical="top" wrapText="1"/>
    </xf>
    <xf numFmtId="0" fontId="6" fillId="104" borderId="35" xfId="0" applyFont="1" applyFill="1" applyBorder="1" applyAlignment="1">
      <alignment vertical="center" wrapText="1"/>
    </xf>
    <xf numFmtId="0" fontId="6" fillId="104" borderId="37" xfId="0" applyFont="1" applyFill="1" applyBorder="1" applyAlignment="1">
      <alignment vertical="center"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xf numFmtId="0" fontId="0" fillId="0" borderId="5" xfId="0" applyBorder="1" applyAlignment="1">
      <alignment horizontal="left" vertical="top" wrapText="1"/>
    </xf>
    <xf numFmtId="0" fontId="0" fillId="0" borderId="11" xfId="0" applyBorder="1" applyAlignment="1">
      <alignment horizontal="left" vertical="top" wrapText="1"/>
    </xf>
    <xf numFmtId="0" fontId="0" fillId="0" borderId="7" xfId="0" applyBorder="1" applyAlignment="1">
      <alignment horizontal="left" vertical="top" wrapText="1"/>
    </xf>
    <xf numFmtId="0" fontId="16" fillId="0" borderId="6" xfId="0" applyFont="1" applyBorder="1" applyAlignment="1">
      <alignment horizontal="left" vertical="top"/>
    </xf>
    <xf numFmtId="0" fontId="16" fillId="0" borderId="38" xfId="0" applyFont="1" applyBorder="1" applyAlignment="1">
      <alignment horizontal="left" vertical="top"/>
    </xf>
    <xf numFmtId="0" fontId="16" fillId="0" borderId="59" xfId="0" applyFont="1" applyBorder="1" applyAlignment="1">
      <alignment horizontal="left" vertical="top"/>
    </xf>
    <xf numFmtId="0" fontId="16" fillId="0" borderId="12" xfId="0" applyFont="1" applyBorder="1" applyAlignment="1">
      <alignment horizontal="left" vertical="top"/>
    </xf>
    <xf numFmtId="0" fontId="16" fillId="0" borderId="0" xfId="0" applyFont="1" applyAlignment="1">
      <alignment horizontal="left" vertical="top"/>
    </xf>
    <xf numFmtId="0" fontId="16" fillId="0" borderId="13" xfId="0" applyFont="1" applyBorder="1" applyAlignment="1">
      <alignment horizontal="left" vertical="top"/>
    </xf>
    <xf numFmtId="0" fontId="16" fillId="0" borderId="8" xfId="0" applyFont="1" applyBorder="1" applyAlignment="1">
      <alignment horizontal="left" vertical="top"/>
    </xf>
    <xf numFmtId="0" fontId="16" fillId="0" borderId="10" xfId="0" applyFont="1" applyBorder="1" applyAlignment="1">
      <alignment horizontal="left" vertical="top"/>
    </xf>
    <xf numFmtId="0" fontId="16" fillId="0" borderId="9" xfId="0" applyFont="1" applyBorder="1" applyAlignment="1">
      <alignment horizontal="left" vertical="top"/>
    </xf>
    <xf numFmtId="0" fontId="0" fillId="0" borderId="6" xfId="0" applyBorder="1" applyAlignment="1">
      <alignment horizontal="left" vertical="top"/>
    </xf>
    <xf numFmtId="0" fontId="0" fillId="0" borderId="38" xfId="0" applyBorder="1" applyAlignment="1">
      <alignment horizontal="left" vertical="top"/>
    </xf>
    <xf numFmtId="0" fontId="0" fillId="0" borderId="59" xfId="0" applyBorder="1" applyAlignment="1">
      <alignment horizontal="left" vertical="top"/>
    </xf>
    <xf numFmtId="0" fontId="0" fillId="0" borderId="12"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xf>
    <xf numFmtId="0" fontId="0" fillId="0" borderId="8" xfId="0" applyBorder="1" applyAlignment="1">
      <alignment horizontal="left" vertical="top"/>
    </xf>
    <xf numFmtId="0" fontId="0" fillId="0" borderId="10" xfId="0" applyBorder="1" applyAlignment="1">
      <alignment horizontal="left" vertical="top"/>
    </xf>
    <xf numFmtId="0" fontId="0" fillId="0" borderId="9" xfId="0" applyBorder="1" applyAlignment="1">
      <alignment horizontal="left" vertical="top"/>
    </xf>
    <xf numFmtId="0" fontId="78" fillId="5" borderId="35" xfId="0" applyFont="1" applyFill="1" applyBorder="1" applyAlignment="1">
      <alignment horizontal="center" vertical="center" wrapText="1"/>
    </xf>
    <xf numFmtId="0" fontId="78" fillId="5" borderId="37" xfId="0" applyFont="1" applyFill="1" applyBorder="1" applyAlignment="1">
      <alignment horizontal="center" vertical="center" wrapText="1"/>
    </xf>
    <xf numFmtId="0" fontId="39" fillId="71" borderId="0" xfId="0" applyFont="1" applyFill="1" applyAlignment="1">
      <alignment horizontal="left"/>
    </xf>
    <xf numFmtId="0" fontId="213" fillId="116" borderId="57" xfId="0" applyFont="1" applyFill="1" applyBorder="1" applyAlignment="1">
      <alignment horizontal="left" vertical="top"/>
    </xf>
  </cellXfs>
  <cellStyles count="78">
    <cellStyle name="20% - Énfasis1" xfId="4" builtinId="30" customBuiltin="1"/>
    <cellStyle name="20% - Énfasis2" xfId="52" builtinId="34" customBuiltin="1"/>
    <cellStyle name="20% - Énfasis3" xfId="55" builtinId="38" customBuiltin="1"/>
    <cellStyle name="20% - Énfasis4" xfId="58" builtinId="42" customBuiltin="1"/>
    <cellStyle name="20% - Énfasis5" xfId="61" builtinId="46" customBuiltin="1"/>
    <cellStyle name="20% - Énfasis6" xfId="64" builtinId="50" customBuiltin="1"/>
    <cellStyle name="40% - Énfasis1" xfId="50" builtinId="31" customBuiltin="1"/>
    <cellStyle name="40% - Énfasis2" xfId="53" builtinId="35" customBuiltin="1"/>
    <cellStyle name="40% - Énfasis3" xfId="56" builtinId="39" customBuiltin="1"/>
    <cellStyle name="40% - Énfasis4" xfId="59" builtinId="43" customBuiltin="1"/>
    <cellStyle name="40% - Énfasis5" xfId="62" builtinId="47" customBuiltin="1"/>
    <cellStyle name="40% - Énfasis6" xfId="65" builtinId="51" customBuiltin="1"/>
    <cellStyle name="60% - Accent1 2" xfId="68" xr:uid="{83C7C593-7BD9-480F-A22C-889EBD0E5087}"/>
    <cellStyle name="60% - Accent2 2" xfId="69" xr:uid="{9B273B57-9C41-403E-B272-13F4ED14F462}"/>
    <cellStyle name="60% - Accent3 2" xfId="70" xr:uid="{72A4D1A7-76C3-4449-90E6-188D87B9D54F}"/>
    <cellStyle name="60% - Accent4 2" xfId="71" xr:uid="{8F8F898B-BBA1-43D4-8233-30F3E98E3E45}"/>
    <cellStyle name="60% - Accent5 2" xfId="72" xr:uid="{A0BC055C-CF52-45D3-8206-AEB53057C290}"/>
    <cellStyle name="60% - Accent6 2" xfId="73" xr:uid="{29CBBD8C-DF57-4B43-A630-8671B153C603}"/>
    <cellStyle name="Body: normal cell" xfId="19" xr:uid="{D3DE035B-27F2-406E-A6FE-B0A361E3E87F}"/>
    <cellStyle name="Bueno" xfId="38" builtinId="26" customBuiltin="1"/>
    <cellStyle name="Cálculo" xfId="42" builtinId="22" customBuiltin="1"/>
    <cellStyle name="Celda de comprobación" xfId="44" builtinId="23" customBuiltin="1"/>
    <cellStyle name="Celda vinculada" xfId="43" builtinId="24" customBuiltin="1"/>
    <cellStyle name="Comma 2" xfId="8" xr:uid="{00000000-0005-0000-0000-000002000000}"/>
    <cellStyle name="Comma 3" xfId="11" xr:uid="{00000000-0005-0000-0000-000003000000}"/>
    <cellStyle name="Comma 3 2" xfId="15" xr:uid="{00000000-0005-0000-0000-000004000000}"/>
    <cellStyle name="Comma 3 2 2" xfId="23" xr:uid="{29F5047F-317D-42B1-9F28-0AD2E2C861C3}"/>
    <cellStyle name="Comma 3 3" xfId="30" xr:uid="{03150921-769C-4CF4-BD9D-0B2D07851BE0}"/>
    <cellStyle name="Comma 4" xfId="77" xr:uid="{D4E8F1AF-C9C7-477C-B863-CB25EECF6A2A}"/>
    <cellStyle name="Currency 2" xfId="9" xr:uid="{00000000-0005-0000-0000-000006000000}"/>
    <cellStyle name="Encabezado 1" xfId="34" builtinId="16" customBuiltin="1"/>
    <cellStyle name="Encabezado 4" xfId="37" builtinId="19" customBuiltin="1"/>
    <cellStyle name="Énfasis1" xfId="49" builtinId="29" customBuiltin="1"/>
    <cellStyle name="Énfasis2" xfId="51" builtinId="33" customBuiltin="1"/>
    <cellStyle name="Énfasis3" xfId="54" builtinId="37" customBuiltin="1"/>
    <cellStyle name="Énfasis4" xfId="57" builtinId="41" customBuiltin="1"/>
    <cellStyle name="Énfasis5" xfId="60" builtinId="45" customBuiltin="1"/>
    <cellStyle name="Énfasis6" xfId="63" builtinId="49" customBuiltin="1"/>
    <cellStyle name="Entrada" xfId="40" builtinId="20" customBuiltin="1"/>
    <cellStyle name="Footnotes: top row" xfId="22" xr:uid="{E2191D4D-EB84-41ED-AFB9-0D1466F6577F}"/>
    <cellStyle name="Header: bottom row" xfId="21" xr:uid="{82C6F0E5-C2FC-4512-A6C9-7AABC64D1700}"/>
    <cellStyle name="Hipervínculo" xfId="1" builtinId="8"/>
    <cellStyle name="Hyperlink 2" xfId="24" xr:uid="{3ECFD057-4C59-457F-9C26-01FC6D958A5C}"/>
    <cellStyle name="Hyperlink 3" xfId="32" xr:uid="{E48F2AB0-821D-4613-A99D-25F0999A6F38}"/>
    <cellStyle name="Incorrecto" xfId="39" builtinId="27" customBuiltin="1"/>
    <cellStyle name="Millares" xfId="3" builtinId="3"/>
    <cellStyle name="Neutral 2" xfId="67" xr:uid="{387280B1-0EE7-4D3C-9E95-1044E2228FDE}"/>
    <cellStyle name="Normal" xfId="0" builtinId="0"/>
    <cellStyle name="Normal 10 3" xfId="26" xr:uid="{10625BF9-EF48-4697-8BBD-35F8AA6DBB2B}"/>
    <cellStyle name="Normal 128" xfId="74" xr:uid="{F35F8C53-0B0D-4B6D-B046-58F008841E0A}"/>
    <cellStyle name="Normal 130" xfId="75" xr:uid="{4D984A26-BDB9-4840-BE94-1D63D95BBD6F}"/>
    <cellStyle name="Normal 131" xfId="76" xr:uid="{5D515672-36F8-47CF-8635-B10DA61BC8FD}"/>
    <cellStyle name="Normal 153" xfId="25" xr:uid="{A31D804D-E7F4-4FD8-A30B-732310A30E22}"/>
    <cellStyle name="Normal 158" xfId="27" xr:uid="{02998FDC-C23C-4027-9B45-4DEBA928680A}"/>
    <cellStyle name="Normal 2" xfId="2" xr:uid="{00000000-0005-0000-0000-000009000000}"/>
    <cellStyle name="Normal 2 2" xfId="28" xr:uid="{1C3FB1B1-96AD-47CA-8EEE-A0EE03801CF7}"/>
    <cellStyle name="Normal 2 2 2" xfId="29" xr:uid="{22FC2501-A1F2-404C-968B-2F195CB1A904}"/>
    <cellStyle name="Normal 3" xfId="7" xr:uid="{00000000-0005-0000-0000-00000A000000}"/>
    <cellStyle name="Normal 3 2" xfId="14" xr:uid="{00000000-0005-0000-0000-00000B000000}"/>
    <cellStyle name="Normal 4" xfId="10" xr:uid="{00000000-0005-0000-0000-00000C000000}"/>
    <cellStyle name="Normal 4 2" xfId="13" xr:uid="{00000000-0005-0000-0000-00000D000000}"/>
    <cellStyle name="Normal 4 3" xfId="66" xr:uid="{0F5FF991-449C-4BC4-8E2D-DC57A7C0097B}"/>
    <cellStyle name="Normal 5" xfId="31" xr:uid="{EE272409-FF4C-4E0A-A7C6-033CE3CBED2A}"/>
    <cellStyle name="Normal 5 2" xfId="17" xr:uid="{3786E741-3721-46C4-9F46-E9CFA7A9F2CF}"/>
    <cellStyle name="Normal 6" xfId="5" xr:uid="{00000000-0005-0000-0000-00000E000000}"/>
    <cellStyle name="Notas" xfId="46" builtinId="10" customBuiltin="1"/>
    <cellStyle name="Parent row" xfId="20" xr:uid="{182F19D9-0FEC-4187-9FBB-5EBACCDFD7F3}"/>
    <cellStyle name="Percent 2" xfId="12" xr:uid="{00000000-0005-0000-0000-000010000000}"/>
    <cellStyle name="Percent 3" xfId="16" xr:uid="{A4F9CF97-DB16-4462-9804-2FA84C49AF61}"/>
    <cellStyle name="Porcentaje" xfId="6" builtinId="5"/>
    <cellStyle name="Salida" xfId="41" builtinId="21" customBuiltin="1"/>
    <cellStyle name="Table title" xfId="18" xr:uid="{72C01491-07E9-4941-A487-E4ED55A1AD16}"/>
    <cellStyle name="Texto de advertencia" xfId="45" builtinId="11" customBuiltin="1"/>
    <cellStyle name="Texto explicativo" xfId="47" builtinId="53" customBuiltin="1"/>
    <cellStyle name="Título" xfId="33" builtinId="15" customBuiltin="1"/>
    <cellStyle name="Título 2" xfId="35" builtinId="17" customBuiltin="1"/>
    <cellStyle name="Título 3" xfId="36" builtinId="18" customBuiltin="1"/>
    <cellStyle name="Total" xfId="48" builtinId="25" customBuiltin="1"/>
  </cellStyles>
  <dxfs count="60">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font>
    </dxf>
    <dxf>
      <font>
        <b val="0"/>
        <i val="0"/>
        <strike val="0"/>
        <condense val="0"/>
        <extend val="0"/>
        <outline val="0"/>
        <shadow val="0"/>
        <u val="none"/>
        <vertAlign val="baseline"/>
        <sz val="12"/>
        <color rgb="FF000000"/>
        <name val="Calibri"/>
        <family val="2"/>
        <scheme val="minor"/>
      </font>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dxf>
    <dxf>
      <alignment horizontal="general" vertical="bottom" textRotation="0" wrapText="1" indent="0" justifyLastLine="0" shrinkToFit="0" readingOrder="0"/>
    </dxf>
    <dxf>
      <font>
        <b val="0"/>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alignment horizontal="general" vertical="bottom" textRotation="0" wrapText="1" indent="0" justifyLastLine="0" shrinkToFit="0" readingOrder="0"/>
    </dxf>
    <dxf>
      <font>
        <b/>
        <i val="0"/>
        <strike val="0"/>
        <condense val="0"/>
        <extend val="0"/>
        <outline val="0"/>
        <shadow val="0"/>
        <u val="none"/>
        <vertAlign val="baseline"/>
        <sz val="10"/>
        <color rgb="FF000000"/>
        <name val="Trebuchet MS"/>
        <family val="2"/>
        <scheme val="none"/>
      </font>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border>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family val="2"/>
        <scheme val="minor"/>
      </font>
      <numFmt numFmtId="174" formatCode="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numFmt numFmtId="167"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F7901E"/>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right style="thin">
          <color indexed="64"/>
        </right>
      </border>
    </dxf>
    <dxf>
      <font>
        <b/>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0"/>
        <name val="Calibri"/>
        <family val="2"/>
        <scheme val="minor"/>
      </font>
      <fill>
        <patternFill patternType="solid">
          <fgColor indexed="64"/>
          <bgColor rgb="FF717073"/>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006699"/>
      <color rgb="FF5C8A85"/>
      <color rgb="FF375623"/>
      <color rgb="FFECE8DF"/>
      <color rgb="FFFFFF66"/>
      <color rgb="FFFF9900"/>
      <color rgb="FF00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Emissions intensities - BASELINE </a:t>
            </a:r>
            <a:r>
              <a:rPr lang="en-US" sz="1100" i="1" baseline="0"/>
              <a:t>(location based)</a:t>
            </a:r>
            <a:endParaRPr lang="en-US"/>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7"/>
          <c:order val="7"/>
          <c:tx>
            <c:strRef>
              <c:f>Summary!$A$154</c:f>
              <c:strCache>
                <c:ptCount val="1"/>
                <c:pt idx="0">
                  <c:v>Emissions Intensity
(kg CO2/liter)</c:v>
                </c:pt>
              </c:strCache>
            </c:strRef>
          </c:tx>
          <c:spPr>
            <a:solidFill>
              <a:schemeClr val="accent2">
                <a:lumMod val="60000"/>
              </a:schemeClr>
            </a:solidFill>
            <a:ln>
              <a:solidFill>
                <a:srgbClr val="006699"/>
              </a:solidFill>
            </a:ln>
            <a:effectLst/>
          </c:spPr>
          <c:invertIfNegative val="0"/>
          <c:dPt>
            <c:idx val="0"/>
            <c:invertIfNegative val="0"/>
            <c:bubble3D val="0"/>
            <c:spPr>
              <a:solidFill>
                <a:schemeClr val="accent2">
                  <a:lumMod val="75000"/>
                </a:schemeClr>
              </a:solidFill>
              <a:ln>
                <a:solidFill>
                  <a:srgbClr val="006699"/>
                </a:solidFill>
              </a:ln>
              <a:effectLst/>
            </c:spPr>
            <c:extLst>
              <c:ext xmlns:c16="http://schemas.microsoft.com/office/drawing/2014/chart" uri="{C3380CC4-5D6E-409C-BE32-E72D297353CC}">
                <c16:uniqueId val="{00000001-AE12-4EEC-A643-EBA73182746A}"/>
              </c:ext>
            </c:extLst>
          </c:dPt>
          <c:dPt>
            <c:idx val="1"/>
            <c:invertIfNegative val="0"/>
            <c:bubble3D val="0"/>
            <c:spPr>
              <a:solidFill>
                <a:srgbClr val="006699"/>
              </a:solidFill>
              <a:ln>
                <a:solidFill>
                  <a:srgbClr val="006699"/>
                </a:solidFill>
              </a:ln>
              <a:effectLst/>
            </c:spPr>
            <c:extLst>
              <c:ext xmlns:c16="http://schemas.microsoft.com/office/drawing/2014/chart" uri="{C3380CC4-5D6E-409C-BE32-E72D297353CC}">
                <c16:uniqueId val="{00000003-AE12-4EEC-A643-EBA73182746A}"/>
              </c:ext>
            </c:extLst>
          </c:dPt>
          <c:dPt>
            <c:idx val="2"/>
            <c:invertIfNegative val="0"/>
            <c:bubble3D val="0"/>
            <c:spPr>
              <a:solidFill>
                <a:schemeClr val="accent6">
                  <a:lumMod val="75000"/>
                </a:schemeClr>
              </a:solidFill>
              <a:ln>
                <a:solidFill>
                  <a:schemeClr val="accent6">
                    <a:lumMod val="75000"/>
                  </a:schemeClr>
                </a:solidFill>
              </a:ln>
              <a:effectLst/>
            </c:spPr>
            <c:extLst>
              <c:ext xmlns:c16="http://schemas.microsoft.com/office/drawing/2014/chart" uri="{C3380CC4-5D6E-409C-BE32-E72D297353CC}">
                <c16:uniqueId val="{00000005-AE12-4EEC-A643-EBA73182746A}"/>
              </c:ext>
            </c:extLst>
          </c:dPt>
          <c:dLbls>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Summary!$B$146:$D$146</c:f>
              <c:strCache>
                <c:ptCount val="3"/>
                <c:pt idx="0">
                  <c:v>Our Company (Baseline)</c:v>
                </c:pt>
                <c:pt idx="1">
                  <c:v>IWCA Average 
(Small Wineries, Baseline)</c:v>
                </c:pt>
                <c:pt idx="2">
                  <c:v>IWCA Average 
(Large Wineries, Baseline)</c:v>
                </c:pt>
              </c:strCache>
            </c:strRef>
          </c:cat>
          <c:val>
            <c:numRef>
              <c:f>Summary!$B$154:$D$154</c:f>
              <c:numCache>
                <c:formatCode>#,##0.00</c:formatCode>
                <c:ptCount val="3"/>
                <c:pt idx="0">
                  <c:v>0</c:v>
                </c:pt>
                <c:pt idx="1">
                  <c:v>4.1850195623614317</c:v>
                </c:pt>
                <c:pt idx="2">
                  <c:v>2.1236854793959354</c:v>
                </c:pt>
              </c:numCache>
            </c:numRef>
          </c:val>
          <c:extLst>
            <c:ext xmlns:c16="http://schemas.microsoft.com/office/drawing/2014/chart" uri="{C3380CC4-5D6E-409C-BE32-E72D297353CC}">
              <c16:uniqueId val="{00000006-AE12-4EEC-A643-EBA73182746A}"/>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Summary!$A$147</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Summary!$B$147:$D$147</c15:sqref>
                        </c15:formulaRef>
                      </c:ext>
                    </c:extLst>
                    <c:numCache>
                      <c:formatCode>#,##0</c:formatCode>
                      <c:ptCount val="3"/>
                      <c:pt idx="0" formatCode="0">
                        <c:v>0</c:v>
                      </c:pt>
                      <c:pt idx="1">
                        <c:v>0</c:v>
                      </c:pt>
                      <c:pt idx="2">
                        <c:v>0</c:v>
                      </c:pt>
                    </c:numCache>
                  </c:numRef>
                </c:val>
                <c:extLst>
                  <c:ext xmlns:c16="http://schemas.microsoft.com/office/drawing/2014/chart" uri="{C3380CC4-5D6E-409C-BE32-E72D297353CC}">
                    <c16:uniqueId val="{00000007-AE12-4EEC-A643-EBA73182746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Summary!$A$148</c15:sqref>
                        </c15:formulaRef>
                      </c:ext>
                    </c:extLst>
                    <c:strCache>
                      <c:ptCount val="1"/>
                      <c:pt idx="0">
                        <c:v>Scope 1 Emissions (MTCO2e)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Summary!$B$148:$D$148</c15:sqref>
                        </c15:formulaRef>
                      </c:ext>
                    </c:extLst>
                    <c:numCache>
                      <c:formatCode>#,##0</c:formatCode>
                      <c:ptCount val="3"/>
                      <c:pt idx="0">
                        <c:v>0</c:v>
                      </c:pt>
                      <c:pt idx="1">
                        <c:v>626.05266450362626</c:v>
                      </c:pt>
                      <c:pt idx="2">
                        <c:v>6675.0675560282871</c:v>
                      </c:pt>
                    </c:numCache>
                  </c:numRef>
                </c:val>
                <c:extLst xmlns:c15="http://schemas.microsoft.com/office/drawing/2012/chart">
                  <c:ext xmlns:c16="http://schemas.microsoft.com/office/drawing/2014/chart" uri="{C3380CC4-5D6E-409C-BE32-E72D297353CC}">
                    <c16:uniqueId val="{00000008-AE12-4EEC-A643-EBA7318274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Summary!$A$149</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Summary!$B$149:$D$149</c15:sqref>
                        </c15:formulaRef>
                      </c:ext>
                    </c:extLst>
                    <c:numCache>
                      <c:formatCode>#,##0</c:formatCode>
                      <c:ptCount val="3"/>
                      <c:pt idx="0">
                        <c:v>0</c:v>
                      </c:pt>
                      <c:pt idx="1">
                        <c:v>279.34633541570969</c:v>
                      </c:pt>
                      <c:pt idx="2">
                        <c:v>4466.469923148933</c:v>
                      </c:pt>
                    </c:numCache>
                  </c:numRef>
                </c:val>
                <c:extLst xmlns:c15="http://schemas.microsoft.com/office/drawing/2012/chart">
                  <c:ext xmlns:c16="http://schemas.microsoft.com/office/drawing/2014/chart" uri="{C3380CC4-5D6E-409C-BE32-E72D297353CC}">
                    <c16:uniqueId val="{00000009-AE12-4EEC-A643-EBA73182746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Summary!$A$150</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Summary!$B$150:$D$150</c15:sqref>
                        </c15:formulaRef>
                      </c:ext>
                    </c:extLst>
                    <c:numCache>
                      <c:formatCode>#,##0</c:formatCode>
                      <c:ptCount val="3"/>
                      <c:pt idx="0">
                        <c:v>0</c:v>
                      </c:pt>
                      <c:pt idx="1">
                        <c:v>3798.1988687857665</c:v>
                      </c:pt>
                      <c:pt idx="2">
                        <c:v>61121.817579694783</c:v>
                      </c:pt>
                    </c:numCache>
                  </c:numRef>
                </c:val>
                <c:extLst xmlns:c15="http://schemas.microsoft.com/office/drawing/2012/chart">
                  <c:ext xmlns:c16="http://schemas.microsoft.com/office/drawing/2014/chart" uri="{C3380CC4-5D6E-409C-BE32-E72D297353CC}">
                    <c16:uniqueId val="{0000000A-AE12-4EEC-A643-EBA7318274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Summary!$A$151</c15:sqref>
                        </c15:formulaRef>
                      </c:ext>
                    </c:extLst>
                    <c:strCache>
                      <c:ptCount val="1"/>
                      <c:pt idx="0">
                        <c:v>Total Scopes 1-2-3 Emissions (MTCO2e)</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Summary!$B$151:$D$151</c15:sqref>
                        </c15:formulaRef>
                      </c:ext>
                    </c:extLst>
                    <c:numCache>
                      <c:formatCode>#,##0</c:formatCode>
                      <c:ptCount val="3"/>
                      <c:pt idx="0">
                        <c:v>0</c:v>
                      </c:pt>
                      <c:pt idx="1">
                        <c:v>4703.597868705102</c:v>
                      </c:pt>
                      <c:pt idx="2">
                        <c:v>72263.385680979351</c:v>
                      </c:pt>
                    </c:numCache>
                  </c:numRef>
                </c:val>
                <c:extLst xmlns:c15="http://schemas.microsoft.com/office/drawing/2012/chart">
                  <c:ext xmlns:c16="http://schemas.microsoft.com/office/drawing/2014/chart" uri="{C3380CC4-5D6E-409C-BE32-E72D297353CC}">
                    <c16:uniqueId val="{0000000B-AE12-4EEC-A643-EBA7318274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Summary!$A$152</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Summary!$B$152:$D$152</c15:sqref>
                        </c15:formulaRef>
                      </c:ext>
                    </c:extLst>
                    <c:numCache>
                      <c:formatCode>#,##0</c:formatCode>
                      <c:ptCount val="3"/>
                      <c:pt idx="0">
                        <c:v>0</c:v>
                      </c:pt>
                      <c:pt idx="1">
                        <c:v>1509432.446</c:v>
                      </c:pt>
                      <c:pt idx="2">
                        <c:v>37438052.732000001</c:v>
                      </c:pt>
                    </c:numCache>
                  </c:numRef>
                </c:val>
                <c:extLst xmlns:c15="http://schemas.microsoft.com/office/drawing/2012/chart">
                  <c:ext xmlns:c16="http://schemas.microsoft.com/office/drawing/2014/chart" uri="{C3380CC4-5D6E-409C-BE32-E72D297353CC}">
                    <c16:uniqueId val="{0000000C-AE12-4EEC-A643-EBA73182746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Summary!$A$153</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Summary!$B$153:$D$153</c15:sqref>
                        </c15:formulaRef>
                      </c:ext>
                    </c:extLst>
                    <c:numCache>
                      <c:formatCode>#,##0</c:formatCode>
                      <c:ptCount val="3"/>
                      <c:pt idx="0">
                        <c:v>0</c:v>
                      </c:pt>
                      <c:pt idx="1">
                        <c:v>167714.71622222223</c:v>
                      </c:pt>
                      <c:pt idx="2">
                        <c:v>4159783.6368888891</c:v>
                      </c:pt>
                    </c:numCache>
                  </c:numRef>
                </c:val>
                <c:extLst xmlns:c15="http://schemas.microsoft.com/office/drawing/2012/chart">
                  <c:ext xmlns:c16="http://schemas.microsoft.com/office/drawing/2014/chart" uri="{C3380CC4-5D6E-409C-BE32-E72D297353CC}">
                    <c16:uniqueId val="{0000000D-AE12-4EEC-A643-EBA73182746A}"/>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kg co2/liter of wine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Emissions intensities - BASELINE </a:t>
            </a:r>
            <a:r>
              <a:rPr lang="en-US" sz="1100" i="1" baseline="0"/>
              <a:t>(Market based)</a:t>
            </a:r>
            <a:endParaRPr lang="en-US"/>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7"/>
          <c:order val="7"/>
          <c:tx>
            <c:strRef>
              <c:f>Summary!$A$166</c:f>
              <c:strCache>
                <c:ptCount val="1"/>
                <c:pt idx="0">
                  <c:v>Emissions Intensity
(kg CO2/liter)</c:v>
                </c:pt>
              </c:strCache>
            </c:strRef>
          </c:tx>
          <c:spPr>
            <a:solidFill>
              <a:schemeClr val="accent2">
                <a:lumMod val="60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795A-4F06-9780-47D5AB9FC790}"/>
              </c:ext>
            </c:extLst>
          </c:dPt>
          <c:dPt>
            <c:idx val="1"/>
            <c:invertIfNegative val="0"/>
            <c:bubble3D val="0"/>
            <c:spPr>
              <a:solidFill>
                <a:srgbClr val="006699"/>
              </a:solidFill>
              <a:ln>
                <a:noFill/>
              </a:ln>
              <a:effectLst/>
            </c:spPr>
            <c:extLst>
              <c:ext xmlns:c16="http://schemas.microsoft.com/office/drawing/2014/chart" uri="{C3380CC4-5D6E-409C-BE32-E72D297353CC}">
                <c16:uniqueId val="{00000003-795A-4F06-9780-47D5AB9FC790}"/>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795A-4F06-9780-47D5AB9FC790}"/>
              </c:ext>
            </c:extLst>
          </c:dPt>
          <c:dLbls>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Summary!$B$158:$D$158</c:f>
              <c:strCache>
                <c:ptCount val="3"/>
                <c:pt idx="0">
                  <c:v>Our Company (Baseline)</c:v>
                </c:pt>
                <c:pt idx="1">
                  <c:v>IWCA Average 
(Small Wineries, Baseline)</c:v>
                </c:pt>
                <c:pt idx="2">
                  <c:v>IWCA Average 
(Large Wineries, Baseline)</c:v>
                </c:pt>
              </c:strCache>
            </c:strRef>
          </c:cat>
          <c:val>
            <c:numRef>
              <c:f>Summary!$B$166:$D$166</c:f>
              <c:numCache>
                <c:formatCode>#,##0.00</c:formatCode>
                <c:ptCount val="3"/>
                <c:pt idx="0">
                  <c:v>0</c:v>
                </c:pt>
                <c:pt idx="1">
                  <c:v>3.8671996684460548</c:v>
                </c:pt>
                <c:pt idx="2">
                  <c:v>1.8359380904382061</c:v>
                </c:pt>
              </c:numCache>
            </c:numRef>
          </c:val>
          <c:extLst>
            <c:ext xmlns:c16="http://schemas.microsoft.com/office/drawing/2014/chart" uri="{C3380CC4-5D6E-409C-BE32-E72D297353CC}">
              <c16:uniqueId val="{00000006-795A-4F06-9780-47D5AB9FC790}"/>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Summary!$A$159</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Summary!$B$159:$D$159</c15:sqref>
                        </c15:formulaRef>
                      </c:ext>
                    </c:extLst>
                    <c:numCache>
                      <c:formatCode>#,##0</c:formatCode>
                      <c:ptCount val="3"/>
                      <c:pt idx="0" formatCode="0">
                        <c:v>0</c:v>
                      </c:pt>
                      <c:pt idx="1">
                        <c:v>0</c:v>
                      </c:pt>
                      <c:pt idx="2">
                        <c:v>0</c:v>
                      </c:pt>
                    </c:numCache>
                  </c:numRef>
                </c:val>
                <c:extLst>
                  <c:ext xmlns:c16="http://schemas.microsoft.com/office/drawing/2014/chart" uri="{C3380CC4-5D6E-409C-BE32-E72D297353CC}">
                    <c16:uniqueId val="{00000007-795A-4F06-9780-47D5AB9FC79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Summary!$A$160</c15:sqref>
                        </c15:formulaRef>
                      </c:ext>
                    </c:extLst>
                    <c:strCache>
                      <c:ptCount val="1"/>
                      <c:pt idx="0">
                        <c:v>Scope 1 Emissions (MTCO2e)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Summary!$B$160:$D$160</c15:sqref>
                        </c15:formulaRef>
                      </c:ext>
                    </c:extLst>
                    <c:numCache>
                      <c:formatCode>#,##0</c:formatCode>
                      <c:ptCount val="3"/>
                      <c:pt idx="0">
                        <c:v>0</c:v>
                      </c:pt>
                      <c:pt idx="1">
                        <c:v>662.3017110005743</c:v>
                      </c:pt>
                      <c:pt idx="2">
                        <c:v>6406.0937077310637</c:v>
                      </c:pt>
                    </c:numCache>
                  </c:numRef>
                </c:val>
                <c:extLst xmlns:c15="http://schemas.microsoft.com/office/drawing/2012/chart">
                  <c:ext xmlns:c16="http://schemas.microsoft.com/office/drawing/2014/chart" uri="{C3380CC4-5D6E-409C-BE32-E72D297353CC}">
                    <c16:uniqueId val="{00000008-795A-4F06-9780-47D5AB9FC79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Summary!$A$161</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Summary!$B$161:$D$161</c15:sqref>
                        </c15:formulaRef>
                      </c:ext>
                    </c:extLst>
                    <c:numCache>
                      <c:formatCode>#,##0</c:formatCode>
                      <c:ptCount val="3"/>
                      <c:pt idx="0">
                        <c:v>0</c:v>
                      </c:pt>
                      <c:pt idx="1">
                        <c:v>247.93545629874291</c:v>
                      </c:pt>
                      <c:pt idx="2">
                        <c:v>4364.3274197726187</c:v>
                      </c:pt>
                    </c:numCache>
                  </c:numRef>
                </c:val>
                <c:extLst xmlns:c15="http://schemas.microsoft.com/office/drawing/2012/chart">
                  <c:ext xmlns:c16="http://schemas.microsoft.com/office/drawing/2014/chart" uri="{C3380CC4-5D6E-409C-BE32-E72D297353CC}">
                    <c16:uniqueId val="{00000009-795A-4F06-9780-47D5AB9FC79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Summary!$A$162</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Summary!$B$162:$D$162</c15:sqref>
                        </c15:formulaRef>
                      </c:ext>
                    </c:extLst>
                    <c:numCache>
                      <c:formatCode>#,##0</c:formatCode>
                      <c:ptCount val="3"/>
                      <c:pt idx="0">
                        <c:v>0</c:v>
                      </c:pt>
                      <c:pt idx="1">
                        <c:v>3237.7294809765581</c:v>
                      </c:pt>
                      <c:pt idx="2">
                        <c:v>63609.77177324253</c:v>
                      </c:pt>
                    </c:numCache>
                  </c:numRef>
                </c:val>
                <c:extLst xmlns:c15="http://schemas.microsoft.com/office/drawing/2012/chart">
                  <c:ext xmlns:c16="http://schemas.microsoft.com/office/drawing/2014/chart" uri="{C3380CC4-5D6E-409C-BE32-E72D297353CC}">
                    <c16:uniqueId val="{0000000A-795A-4F06-9780-47D5AB9FC79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Summary!$A$163</c15:sqref>
                        </c15:formulaRef>
                      </c:ext>
                    </c:extLst>
                    <c:strCache>
                      <c:ptCount val="1"/>
                      <c:pt idx="0">
                        <c:v>Total Scopes 1-2-3 Emissions (MTCO2e)</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Summary!$B$163:$D$163</c15:sqref>
                        </c15:formulaRef>
                      </c:ext>
                    </c:extLst>
                    <c:numCache>
                      <c:formatCode>#,##0</c:formatCode>
                      <c:ptCount val="3"/>
                      <c:pt idx="0">
                        <c:v>0</c:v>
                      </c:pt>
                      <c:pt idx="1">
                        <c:v>4147.9666482758757</c:v>
                      </c:pt>
                      <c:pt idx="2">
                        <c:v>74380.192900746217</c:v>
                      </c:pt>
                    </c:numCache>
                  </c:numRef>
                </c:val>
                <c:extLst xmlns:c15="http://schemas.microsoft.com/office/drawing/2012/chart">
                  <c:ext xmlns:c16="http://schemas.microsoft.com/office/drawing/2014/chart" uri="{C3380CC4-5D6E-409C-BE32-E72D297353CC}">
                    <c16:uniqueId val="{0000000B-795A-4F06-9780-47D5AB9FC79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Summary!$A$164</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Summary!$B$164:$D$164</c15:sqref>
                        </c15:formulaRef>
                      </c:ext>
                    </c:extLst>
                    <c:numCache>
                      <c:formatCode>#,##0</c:formatCode>
                      <c:ptCount val="3"/>
                      <c:pt idx="0">
                        <c:v>0</c:v>
                      </c:pt>
                      <c:pt idx="1">
                        <c:v>1383161.3935294119</c:v>
                      </c:pt>
                      <c:pt idx="2">
                        <c:v>41506700.785312496</c:v>
                      </c:pt>
                    </c:numCache>
                  </c:numRef>
                </c:val>
                <c:extLst xmlns:c15="http://schemas.microsoft.com/office/drawing/2012/chart">
                  <c:ext xmlns:c16="http://schemas.microsoft.com/office/drawing/2014/chart" uri="{C3380CC4-5D6E-409C-BE32-E72D297353CC}">
                    <c16:uniqueId val="{0000000C-795A-4F06-9780-47D5AB9FC79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Summary!$A$165</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Summary!$B$165:$D$165</c15:sqref>
                        </c15:formulaRef>
                      </c:ext>
                    </c:extLst>
                    <c:numCache>
                      <c:formatCode>#,##0</c:formatCode>
                      <c:ptCount val="3"/>
                      <c:pt idx="0">
                        <c:v>0</c:v>
                      </c:pt>
                      <c:pt idx="1">
                        <c:v>153684.59928104575</c:v>
                      </c:pt>
                      <c:pt idx="2">
                        <c:v>4611855.6428124998</c:v>
                      </c:pt>
                    </c:numCache>
                  </c:numRef>
                </c:val>
                <c:extLst xmlns:c15="http://schemas.microsoft.com/office/drawing/2012/chart">
                  <c:ext xmlns:c16="http://schemas.microsoft.com/office/drawing/2014/chart" uri="{C3380CC4-5D6E-409C-BE32-E72D297353CC}">
                    <c16:uniqueId val="{0000000D-795A-4F06-9780-47D5AB9FC790}"/>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kg co2/liter of wine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Emissions intensities - most recent year PAST BASELINE </a:t>
            </a:r>
            <a:r>
              <a:rPr lang="en-US" sz="1000" i="1"/>
              <a:t>(location</a:t>
            </a:r>
            <a:r>
              <a:rPr lang="en-US" sz="1000" i="1" baseline="0"/>
              <a:t> based)</a:t>
            </a:r>
            <a:endParaRPr lang="en-US" sz="1000" i="1"/>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8480811377445932E-2"/>
          <c:y val="0.19678886984043253"/>
          <c:w val="0.94457749327910701"/>
          <c:h val="0.57860751787957376"/>
        </c:manualLayout>
      </c:layout>
      <c:barChart>
        <c:barDir val="col"/>
        <c:grouping val="clustered"/>
        <c:varyColors val="0"/>
        <c:ser>
          <c:idx val="7"/>
          <c:order val="7"/>
          <c:tx>
            <c:strRef>
              <c:f>Summary!$A$154</c:f>
              <c:strCache>
                <c:ptCount val="1"/>
                <c:pt idx="0">
                  <c:v>Emissions Intensity
(kg CO2/liter)</c:v>
                </c:pt>
              </c:strCache>
            </c:strRef>
          </c:tx>
          <c:spPr>
            <a:solidFill>
              <a:schemeClr val="accent2">
                <a:lumMod val="60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8803-429E-AA2E-544BEBD71061}"/>
              </c:ext>
            </c:extLst>
          </c:dPt>
          <c:dPt>
            <c:idx val="1"/>
            <c:invertIfNegative val="0"/>
            <c:bubble3D val="0"/>
            <c:spPr>
              <a:solidFill>
                <a:srgbClr val="006699"/>
              </a:solidFill>
              <a:ln>
                <a:noFill/>
              </a:ln>
              <a:effectLst/>
            </c:spPr>
            <c:extLst>
              <c:ext xmlns:c16="http://schemas.microsoft.com/office/drawing/2014/chart" uri="{C3380CC4-5D6E-409C-BE32-E72D297353CC}">
                <c16:uniqueId val="{00000003-8803-429E-AA2E-544BEBD7106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EA31-4A64-B324-29CA39639DC8}"/>
              </c:ext>
            </c:extLst>
          </c:dPt>
          <c:dLbls>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ext>
              </c:extLst>
              <c:f>(Summary!$E$146,Summary!$G$146:$H$146)</c:f>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Summary!$E$154:$H$154</c15:sqref>
                  </c15:fullRef>
                </c:ext>
              </c:extLst>
              <c:f>(Summary!$E$154,Summary!$G$154:$H$154)</c:f>
              <c:numCache>
                <c:formatCode>#,##0.00</c:formatCode>
                <c:ptCount val="3"/>
                <c:pt idx="0">
                  <c:v>0</c:v>
                </c:pt>
                <c:pt idx="1">
                  <c:v>2.5545777751454879</c:v>
                </c:pt>
                <c:pt idx="2">
                  <c:v>1.4592771299212028</c:v>
                </c:pt>
              </c:numCache>
            </c:numRef>
          </c:val>
          <c:extLst xmlns:c15="http://schemas.microsoft.com/office/drawing/2012/chart">
            <c:ext xmlns:c16="http://schemas.microsoft.com/office/drawing/2014/chart" uri="{C3380CC4-5D6E-409C-BE32-E72D297353CC}">
              <c16:uniqueId val="{00000006-8803-429E-AA2E-544BEBD71061}"/>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Summary!$A$147</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uri="{02D57815-91ED-43cb-92C2-25804820EDAC}">
                        <c15:fullRef>
                          <c15:sqref>Summary!$E$147:$H$147</c15:sqref>
                        </c15:fullRef>
                        <c15:formulaRef>
                          <c15:sqref>(Summary!$E$147,Summary!$G$147:$H$147)</c15:sqref>
                        </c15:formulaRef>
                      </c:ext>
                    </c:extLst>
                    <c:numCache>
                      <c:formatCode>0</c:formatCode>
                      <c:ptCount val="3"/>
                      <c:pt idx="0">
                        <c:v>0</c:v>
                      </c:pt>
                      <c:pt idx="1" formatCode="#,##0">
                        <c:v>0</c:v>
                      </c:pt>
                      <c:pt idx="2" formatCode="#,##0">
                        <c:v>0</c:v>
                      </c:pt>
                    </c:numCache>
                  </c:numRef>
                </c:val>
                <c:extLst>
                  <c:ext xmlns:c16="http://schemas.microsoft.com/office/drawing/2014/chart" uri="{C3380CC4-5D6E-409C-BE32-E72D297353CC}">
                    <c16:uniqueId val="{00000007-8803-429E-AA2E-544BEBD71061}"/>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Summary!$A$148</c15:sqref>
                        </c15:formulaRef>
                      </c:ext>
                    </c:extLst>
                    <c:strCache>
                      <c:ptCount val="1"/>
                      <c:pt idx="0">
                        <c:v>Scope 1 Emissions (MTCO2e)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Summary!$E$148:$H$148</c15:sqref>
                        </c15:fullRef>
                        <c15:formulaRef>
                          <c15:sqref>(Summary!$E$148,Summary!$G$148:$H$148)</c15:sqref>
                        </c15:formulaRef>
                      </c:ext>
                    </c:extLst>
                    <c:numCache>
                      <c:formatCode>#,##0</c:formatCode>
                      <c:ptCount val="3"/>
                      <c:pt idx="0">
                        <c:v>0</c:v>
                      </c:pt>
                      <c:pt idx="1">
                        <c:v>597.83333333333337</c:v>
                      </c:pt>
                      <c:pt idx="2">
                        <c:v>7894.6612628314097</c:v>
                      </c:pt>
                    </c:numCache>
                  </c:numRef>
                </c:val>
                <c:extLst xmlns:c15="http://schemas.microsoft.com/office/drawing/2012/chart">
                  <c:ext xmlns:c16="http://schemas.microsoft.com/office/drawing/2014/chart" uri="{C3380CC4-5D6E-409C-BE32-E72D297353CC}">
                    <c16:uniqueId val="{00000008-8803-429E-AA2E-544BEBD710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Summary!$A$149</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Summary!$E$149:$H$149</c15:sqref>
                        </c15:fullRef>
                        <c15:formulaRef>
                          <c15:sqref>(Summary!$E$149,Summary!$G$149:$H$149)</c15:sqref>
                        </c15:formulaRef>
                      </c:ext>
                    </c:extLst>
                    <c:numCache>
                      <c:formatCode>#,##0</c:formatCode>
                      <c:ptCount val="3"/>
                      <c:pt idx="0">
                        <c:v>0</c:v>
                      </c:pt>
                      <c:pt idx="1">
                        <c:v>279.36666666666667</c:v>
                      </c:pt>
                      <c:pt idx="2">
                        <c:v>2392.8469758714309</c:v>
                      </c:pt>
                    </c:numCache>
                  </c:numRef>
                </c:val>
                <c:extLst xmlns:c15="http://schemas.microsoft.com/office/drawing/2012/chart">
                  <c:ext xmlns:c16="http://schemas.microsoft.com/office/drawing/2014/chart" uri="{C3380CC4-5D6E-409C-BE32-E72D297353CC}">
                    <c16:uniqueId val="{00000009-8803-429E-AA2E-544BEBD710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Summary!$A$150</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Summary!$E$150:$H$150</c15:sqref>
                        </c15:fullRef>
                        <c15:formulaRef>
                          <c15:sqref>(Summary!$E$150,Summary!$G$150:$H$150)</c15:sqref>
                        </c15:formulaRef>
                      </c:ext>
                    </c:extLst>
                    <c:numCache>
                      <c:formatCode>#,##0</c:formatCode>
                      <c:ptCount val="3"/>
                      <c:pt idx="0">
                        <c:v>0</c:v>
                      </c:pt>
                      <c:pt idx="1">
                        <c:v>2370.7333333333331</c:v>
                      </c:pt>
                      <c:pt idx="2">
                        <c:v>53180.67464364849</c:v>
                      </c:pt>
                    </c:numCache>
                  </c:numRef>
                </c:val>
                <c:extLst xmlns:c15="http://schemas.microsoft.com/office/drawing/2012/chart">
                  <c:ext xmlns:c16="http://schemas.microsoft.com/office/drawing/2014/chart" uri="{C3380CC4-5D6E-409C-BE32-E72D297353CC}">
                    <c16:uniqueId val="{0000000A-8803-429E-AA2E-544BEBD7106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Summary!$A$151</c15:sqref>
                        </c15:formulaRef>
                      </c:ext>
                    </c:extLst>
                    <c:strCache>
                      <c:ptCount val="1"/>
                      <c:pt idx="0">
                        <c:v>Total Scopes 1-2-3 Emissions (MTCO2e)</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Summary!$E$151:$H$151</c15:sqref>
                        </c15:fullRef>
                        <c15:formulaRef>
                          <c15:sqref>(Summary!$E$151,Summary!$G$151:$H$151)</c15:sqref>
                        </c15:formulaRef>
                      </c:ext>
                    </c:extLst>
                    <c:numCache>
                      <c:formatCode>#,##0</c:formatCode>
                      <c:ptCount val="3"/>
                      <c:pt idx="0">
                        <c:v>0</c:v>
                      </c:pt>
                      <c:pt idx="1">
                        <c:v>3247.9333333333329</c:v>
                      </c:pt>
                      <c:pt idx="2">
                        <c:v>63243.5989350698</c:v>
                      </c:pt>
                    </c:numCache>
                  </c:numRef>
                </c:val>
                <c:extLst xmlns:c15="http://schemas.microsoft.com/office/drawing/2012/chart">
                  <c:ext xmlns:c16="http://schemas.microsoft.com/office/drawing/2014/chart" uri="{C3380CC4-5D6E-409C-BE32-E72D297353CC}">
                    <c16:uniqueId val="{0000000B-8803-429E-AA2E-544BEBD7106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Summary!$A$152</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Summary!$E$152:$H$152</c15:sqref>
                        </c15:fullRef>
                        <c15:formulaRef>
                          <c15:sqref>(Summary!$E$152,Summary!$G$152:$H$152)</c15:sqref>
                        </c15:formulaRef>
                      </c:ext>
                    </c:extLst>
                    <c:numCache>
                      <c:formatCode>#,##0</c:formatCode>
                      <c:ptCount val="3"/>
                      <c:pt idx="0">
                        <c:v>0</c:v>
                      </c:pt>
                      <c:pt idx="1">
                        <c:v>1664879</c:v>
                      </c:pt>
                      <c:pt idx="2">
                        <c:v>44263156.344917543</c:v>
                      </c:pt>
                    </c:numCache>
                  </c:numRef>
                </c:val>
                <c:extLst xmlns:c15="http://schemas.microsoft.com/office/drawing/2012/chart">
                  <c:ext xmlns:c16="http://schemas.microsoft.com/office/drawing/2014/chart" uri="{C3380CC4-5D6E-409C-BE32-E72D297353CC}">
                    <c16:uniqueId val="{0000000C-8803-429E-AA2E-544BEBD7106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Summary!$A$153</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Summary!$E$153:$H$153</c15:sqref>
                        </c15:fullRef>
                        <c15:formulaRef>
                          <c15:sqref>(Summary!$E$153,Summary!$G$153:$H$153)</c15:sqref>
                        </c15:formulaRef>
                      </c:ext>
                    </c:extLst>
                    <c:numCache>
                      <c:formatCode>#,##0</c:formatCode>
                      <c:ptCount val="3"/>
                      <c:pt idx="0">
                        <c:v>0</c:v>
                      </c:pt>
                      <c:pt idx="1">
                        <c:v>184986.55555555556</c:v>
                      </c:pt>
                      <c:pt idx="2">
                        <c:v>4918128.4827686157</c:v>
                      </c:pt>
                    </c:numCache>
                  </c:numRef>
                </c:val>
                <c:extLst xmlns:c15="http://schemas.microsoft.com/office/drawing/2012/chart">
                  <c:ext xmlns:c16="http://schemas.microsoft.com/office/drawing/2014/chart" uri="{C3380CC4-5D6E-409C-BE32-E72D297353CC}">
                    <c16:uniqueId val="{0000000D-8803-429E-AA2E-544BEBD71061}"/>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kg co2/liter of wine</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Emissions intensities - most recent year PAST BASELINe</a:t>
            </a:r>
          </a:p>
          <a:p>
            <a:pPr>
              <a:defRPr/>
            </a:pPr>
            <a:r>
              <a:rPr lang="en-US" sz="1000" i="1"/>
              <a:t>(Market</a:t>
            </a:r>
            <a:r>
              <a:rPr lang="en-US" sz="1000" i="1" baseline="0"/>
              <a:t> based)</a:t>
            </a:r>
            <a:endParaRPr lang="en-US" sz="1000" i="1"/>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857622468351042E-2"/>
          <c:y val="0.21220111640355827"/>
          <c:w val="0.93461758511342863"/>
          <c:h val="0.54352899182080239"/>
        </c:manualLayout>
      </c:layout>
      <c:barChart>
        <c:barDir val="col"/>
        <c:grouping val="clustered"/>
        <c:varyColors val="0"/>
        <c:ser>
          <c:idx val="7"/>
          <c:order val="7"/>
          <c:tx>
            <c:strRef>
              <c:f>Summary!$A$166</c:f>
              <c:strCache>
                <c:ptCount val="1"/>
                <c:pt idx="0">
                  <c:v>Emissions Intensity
(kg CO2/liter)</c:v>
                </c:pt>
              </c:strCache>
            </c:strRef>
          </c:tx>
          <c:spPr>
            <a:solidFill>
              <a:schemeClr val="accent2">
                <a:lumMod val="60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8BB9-4421-97DA-E4C59164B527}"/>
              </c:ext>
            </c:extLst>
          </c:dPt>
          <c:dPt>
            <c:idx val="1"/>
            <c:invertIfNegative val="0"/>
            <c:bubble3D val="0"/>
            <c:spPr>
              <a:solidFill>
                <a:srgbClr val="006699"/>
              </a:solidFill>
              <a:ln>
                <a:noFill/>
              </a:ln>
              <a:effectLst/>
            </c:spPr>
            <c:extLst>
              <c:ext xmlns:c16="http://schemas.microsoft.com/office/drawing/2014/chart" uri="{C3380CC4-5D6E-409C-BE32-E72D297353CC}">
                <c16:uniqueId val="{00000003-8BB9-4421-97DA-E4C59164B527}"/>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6F83-4896-8167-1B3508084B92}"/>
              </c:ext>
            </c:extLst>
          </c:dPt>
          <c:dLbls>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ext>
              </c:extLst>
              <c:f>(Summary!$E$158,Summary!$G$158:$H$158)</c:f>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Summary!$E$166:$H$166</c15:sqref>
                  </c15:fullRef>
                </c:ext>
              </c:extLst>
              <c:f>(Summary!$E$166,Summary!$G$166:$H$166)</c:f>
              <c:numCache>
                <c:formatCode>#,##0.00</c:formatCode>
                <c:ptCount val="3"/>
                <c:pt idx="0">
                  <c:v>0</c:v>
                </c:pt>
                <c:pt idx="1">
                  <c:v>3.4301846009787176</c:v>
                </c:pt>
                <c:pt idx="2">
                  <c:v>1.522055865860944</c:v>
                </c:pt>
              </c:numCache>
            </c:numRef>
          </c:val>
          <c:extLst xmlns:c15="http://schemas.microsoft.com/office/drawing/2012/chart">
            <c:ext xmlns:c16="http://schemas.microsoft.com/office/drawing/2014/chart" uri="{C3380CC4-5D6E-409C-BE32-E72D297353CC}">
              <c16:uniqueId val="{00000006-8BB9-4421-97DA-E4C59164B527}"/>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Summary!$A$159</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uri="{02D57815-91ED-43cb-92C2-25804820EDAC}">
                        <c15:fullRef>
                          <c15:sqref>Summary!$E$159:$H$159</c15:sqref>
                        </c15:fullRef>
                        <c15:formulaRef>
                          <c15:sqref>(Summary!$E$159,Summary!$G$159:$H$159)</c15:sqref>
                        </c15:formulaRef>
                      </c:ext>
                    </c:extLst>
                    <c:numCache>
                      <c:formatCode>0</c:formatCode>
                      <c:ptCount val="3"/>
                      <c:pt idx="0">
                        <c:v>0</c:v>
                      </c:pt>
                      <c:pt idx="1" formatCode="#,##0">
                        <c:v>0</c:v>
                      </c:pt>
                      <c:pt idx="2" formatCode="#,##0">
                        <c:v>0</c:v>
                      </c:pt>
                    </c:numCache>
                  </c:numRef>
                </c:val>
                <c:extLst>
                  <c:ext xmlns:c16="http://schemas.microsoft.com/office/drawing/2014/chart" uri="{C3380CC4-5D6E-409C-BE32-E72D297353CC}">
                    <c16:uniqueId val="{00000007-8BB9-4421-97DA-E4C59164B527}"/>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Summary!$A$160</c15:sqref>
                        </c15:formulaRef>
                      </c:ext>
                    </c:extLst>
                    <c:strCache>
                      <c:ptCount val="1"/>
                      <c:pt idx="0">
                        <c:v>Scope 1 Emissions (MTCO2e)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Summary!$E$160:$H$160</c15:sqref>
                        </c15:fullRef>
                        <c15:formulaRef>
                          <c15:sqref>(Summary!$E$160,Summary!$G$160:$H$160)</c15:sqref>
                        </c15:formulaRef>
                      </c:ext>
                    </c:extLst>
                    <c:numCache>
                      <c:formatCode>#,##0</c:formatCode>
                      <c:ptCount val="3"/>
                      <c:pt idx="0">
                        <c:v>0</c:v>
                      </c:pt>
                      <c:pt idx="1">
                        <c:v>678.17593996843652</c:v>
                      </c:pt>
                      <c:pt idx="2">
                        <c:v>5899.7262505907638</c:v>
                      </c:pt>
                    </c:numCache>
                  </c:numRef>
                </c:val>
                <c:extLst xmlns:c15="http://schemas.microsoft.com/office/drawing/2012/chart">
                  <c:ext xmlns:c16="http://schemas.microsoft.com/office/drawing/2014/chart" uri="{C3380CC4-5D6E-409C-BE32-E72D297353CC}">
                    <c16:uniqueId val="{00000008-8BB9-4421-97DA-E4C59164B5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Summary!$A$161</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Summary!$E$161:$H$161</c15:sqref>
                        </c15:fullRef>
                        <c15:formulaRef>
                          <c15:sqref>(Summary!$E$161,Summary!$G$161:$H$161)</c15:sqref>
                        </c15:formulaRef>
                      </c:ext>
                    </c:extLst>
                    <c:numCache>
                      <c:formatCode>#,##0</c:formatCode>
                      <c:ptCount val="3"/>
                      <c:pt idx="0">
                        <c:v>0</c:v>
                      </c:pt>
                      <c:pt idx="1">
                        <c:v>184.97690890195773</c:v>
                      </c:pt>
                      <c:pt idx="2">
                        <c:v>1197.3259159838133</c:v>
                      </c:pt>
                    </c:numCache>
                  </c:numRef>
                </c:val>
                <c:extLst xmlns:c15="http://schemas.microsoft.com/office/drawing/2012/chart">
                  <c:ext xmlns:c16="http://schemas.microsoft.com/office/drawing/2014/chart" uri="{C3380CC4-5D6E-409C-BE32-E72D297353CC}">
                    <c16:uniqueId val="{00000009-8BB9-4421-97DA-E4C59164B52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Summary!$A$162</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Summary!$E$162:$H$162</c15:sqref>
                        </c15:fullRef>
                        <c15:formulaRef>
                          <c15:sqref>(Summary!$E$162,Summary!$G$162:$H$162)</c15:sqref>
                        </c15:formulaRef>
                      </c:ext>
                    </c:extLst>
                    <c:numCache>
                      <c:formatCode>#,##0</c:formatCode>
                      <c:ptCount val="3"/>
                      <c:pt idx="0">
                        <c:v>0</c:v>
                      </c:pt>
                      <c:pt idx="1">
                        <c:v>2923.2995102553919</c:v>
                      </c:pt>
                      <c:pt idx="2">
                        <c:v>48330.099345163442</c:v>
                      </c:pt>
                    </c:numCache>
                  </c:numRef>
                </c:val>
                <c:extLst xmlns:c15="http://schemas.microsoft.com/office/drawing/2012/chart">
                  <c:ext xmlns:c16="http://schemas.microsoft.com/office/drawing/2014/chart" uri="{C3380CC4-5D6E-409C-BE32-E72D297353CC}">
                    <c16:uniqueId val="{0000000A-8BB9-4421-97DA-E4C59164B5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Summary!$A$163</c15:sqref>
                        </c15:formulaRef>
                      </c:ext>
                    </c:extLst>
                    <c:strCache>
                      <c:ptCount val="1"/>
                      <c:pt idx="0">
                        <c:v>Total Scopes 1-2-3 Emissions (MTCO2e)</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Summary!$E$163:$H$163</c15:sqref>
                        </c15:fullRef>
                        <c15:formulaRef>
                          <c15:sqref>(Summary!$E$163,Summary!$G$163:$H$163)</c15:sqref>
                        </c15:formulaRef>
                      </c:ext>
                    </c:extLst>
                    <c:numCache>
                      <c:formatCode>#,##0</c:formatCode>
                      <c:ptCount val="3"/>
                      <c:pt idx="0">
                        <c:v>0</c:v>
                      </c:pt>
                      <c:pt idx="1">
                        <c:v>3786.4523591257857</c:v>
                      </c:pt>
                      <c:pt idx="2">
                        <c:v>55427.151511738026</c:v>
                      </c:pt>
                    </c:numCache>
                  </c:numRef>
                </c:val>
                <c:extLst xmlns:c15="http://schemas.microsoft.com/office/drawing/2012/chart">
                  <c:ext xmlns:c16="http://schemas.microsoft.com/office/drawing/2014/chart" uri="{C3380CC4-5D6E-409C-BE32-E72D297353CC}">
                    <c16:uniqueId val="{0000000B-8BB9-4421-97DA-E4C59164B52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Summary!$A$164</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Summary!$E$164:$H$164</c15:sqref>
                        </c15:fullRef>
                        <c15:formulaRef>
                          <c15:sqref>(Summary!$E$164,Summary!$G$164:$H$164)</c15:sqref>
                        </c15:formulaRef>
                      </c:ext>
                    </c:extLst>
                    <c:numCache>
                      <c:formatCode>#,##0</c:formatCode>
                      <c:ptCount val="3"/>
                      <c:pt idx="0">
                        <c:v>0</c:v>
                      </c:pt>
                      <c:pt idx="1">
                        <c:v>1451306.5</c:v>
                      </c:pt>
                      <c:pt idx="2">
                        <c:v>38057729.273794033</c:v>
                      </c:pt>
                    </c:numCache>
                  </c:numRef>
                </c:val>
                <c:extLst xmlns:c15="http://schemas.microsoft.com/office/drawing/2012/chart">
                  <c:ext xmlns:c16="http://schemas.microsoft.com/office/drawing/2014/chart" uri="{C3380CC4-5D6E-409C-BE32-E72D297353CC}">
                    <c16:uniqueId val="{0000000C-8BB9-4421-97DA-E4C59164B52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Summary!$A$165</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Summary!$E$165:$H$165</c15:sqref>
                        </c15:fullRef>
                        <c15:formulaRef>
                          <c15:sqref>(Summary!$E$165,Summary!$G$165:$H$165)</c15:sqref>
                        </c15:formulaRef>
                      </c:ext>
                    </c:extLst>
                    <c:numCache>
                      <c:formatCode>#,##0</c:formatCode>
                      <c:ptCount val="3"/>
                      <c:pt idx="0">
                        <c:v>0</c:v>
                      </c:pt>
                      <c:pt idx="1">
                        <c:v>161256.27777777778</c:v>
                      </c:pt>
                      <c:pt idx="2">
                        <c:v>4228636.5859771147</c:v>
                      </c:pt>
                    </c:numCache>
                  </c:numRef>
                </c:val>
                <c:extLst xmlns:c15="http://schemas.microsoft.com/office/drawing/2012/chart">
                  <c:ext xmlns:c16="http://schemas.microsoft.com/office/drawing/2014/chart" uri="{C3380CC4-5D6E-409C-BE32-E72D297353CC}">
                    <c16:uniqueId val="{0000000D-8BB9-4421-97DA-E4C59164B527}"/>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kg co2/liter of wine</a:t>
                </a:r>
                <a:endParaRPr lang="en-US" sz="1200">
                  <a:effectLst/>
                </a:endParaRPr>
              </a:p>
            </c:rich>
          </c:tx>
          <c:layout>
            <c:manualLayout>
              <c:xMode val="edge"/>
              <c:yMode val="edge"/>
              <c:x val="1.6723757391608873E-2"/>
              <c:y val="0.22920554616453337"/>
            </c:manualLayout>
          </c:layout>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ABSOLUTE Emissions - BASELINE </a:t>
            </a:r>
            <a:r>
              <a:rPr lang="en-US" sz="1100" i="1" baseline="0"/>
              <a:t>(location based)</a:t>
            </a:r>
            <a:endParaRPr lang="en-US"/>
          </a:p>
        </c:rich>
      </c:tx>
      <c:layout>
        <c:manualLayout>
          <c:xMode val="edge"/>
          <c:yMode val="edge"/>
          <c:x val="0.19948508016635164"/>
          <c:y val="2.5210089519597204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3278437114701222E-2"/>
          <c:y val="0.16387096774193549"/>
          <c:w val="0.94981335003256373"/>
          <c:h val="0.65614584268379261"/>
        </c:manualLayout>
      </c:layout>
      <c:barChart>
        <c:barDir val="col"/>
        <c:grouping val="clustered"/>
        <c:varyColors val="0"/>
        <c:ser>
          <c:idx val="4"/>
          <c:order val="4"/>
          <c:tx>
            <c:strRef>
              <c:f>Summary!$A$151</c:f>
              <c:strCache>
                <c:ptCount val="1"/>
                <c:pt idx="0">
                  <c:v>Total Scopes 1-2-3 Emissions (MTCO2e)</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784E-4CC0-B558-C84FDAF15C7F}"/>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784E-4CC0-B558-C84FDAF15C7F}"/>
              </c:ext>
            </c:extLst>
          </c:dPt>
          <c:dPt>
            <c:idx val="2"/>
            <c:invertIfNegative val="0"/>
            <c:bubble3D val="0"/>
            <c:spPr>
              <a:solidFill>
                <a:srgbClr val="7030A0"/>
              </a:solidFill>
              <a:ln>
                <a:noFill/>
              </a:ln>
              <a:effectLst/>
            </c:spPr>
            <c:extLst>
              <c:ext xmlns:c16="http://schemas.microsoft.com/office/drawing/2014/chart" uri="{C3380CC4-5D6E-409C-BE32-E72D297353CC}">
                <c16:uniqueId val="{00000005-784E-4CC0-B558-C84FDAF15C7F}"/>
              </c:ext>
            </c:extLst>
          </c:dPt>
          <c:dLbls>
            <c:numFmt formatCode="#,##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Summary!$B$146:$D$146</c:f>
              <c:strCache>
                <c:ptCount val="3"/>
                <c:pt idx="0">
                  <c:v>Our Company (Baseline)</c:v>
                </c:pt>
                <c:pt idx="1">
                  <c:v>IWCA Average 
(Small Wineries, Baseline)</c:v>
                </c:pt>
                <c:pt idx="2">
                  <c:v>IWCA Average 
(Large Wineries, Baseline)</c:v>
                </c:pt>
              </c:strCache>
            </c:strRef>
          </c:cat>
          <c:val>
            <c:numRef>
              <c:f>Summary!$B$151:$D$151</c:f>
              <c:numCache>
                <c:formatCode>#,##0</c:formatCode>
                <c:ptCount val="3"/>
                <c:pt idx="0">
                  <c:v>0</c:v>
                </c:pt>
                <c:pt idx="1">
                  <c:v>4703.597868705102</c:v>
                </c:pt>
                <c:pt idx="2">
                  <c:v>72263.385680979351</c:v>
                </c:pt>
              </c:numCache>
            </c:numRef>
          </c:val>
          <c:extLst>
            <c:ext xmlns:c16="http://schemas.microsoft.com/office/drawing/2014/chart" uri="{C3380CC4-5D6E-409C-BE32-E72D297353CC}">
              <c16:uniqueId val="{00000006-784E-4CC0-B558-C84FDAF15C7F}"/>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Summary!$A$147</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Summary!$B$147:$D$147</c15:sqref>
                        </c15:formulaRef>
                      </c:ext>
                    </c:extLst>
                    <c:numCache>
                      <c:formatCode>#,##0</c:formatCode>
                      <c:ptCount val="3"/>
                      <c:pt idx="0" formatCode="0">
                        <c:v>0</c:v>
                      </c:pt>
                      <c:pt idx="1">
                        <c:v>0</c:v>
                      </c:pt>
                      <c:pt idx="2">
                        <c:v>0</c:v>
                      </c:pt>
                    </c:numCache>
                  </c:numRef>
                </c:val>
                <c:extLst>
                  <c:ext xmlns:c16="http://schemas.microsoft.com/office/drawing/2014/chart" uri="{C3380CC4-5D6E-409C-BE32-E72D297353CC}">
                    <c16:uniqueId val="{00000007-784E-4CC0-B558-C84FDAF15C7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Summary!$A$148</c15:sqref>
                        </c15:formulaRef>
                      </c:ext>
                    </c:extLst>
                    <c:strCache>
                      <c:ptCount val="1"/>
                      <c:pt idx="0">
                        <c:v>Scope 1 Emissions (MTCO2e)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Summary!$B$148:$D$148</c15:sqref>
                        </c15:formulaRef>
                      </c:ext>
                    </c:extLst>
                    <c:numCache>
                      <c:formatCode>#,##0</c:formatCode>
                      <c:ptCount val="3"/>
                      <c:pt idx="0">
                        <c:v>0</c:v>
                      </c:pt>
                      <c:pt idx="1">
                        <c:v>626.05266450362626</c:v>
                      </c:pt>
                      <c:pt idx="2">
                        <c:v>6675.0675560282871</c:v>
                      </c:pt>
                    </c:numCache>
                  </c:numRef>
                </c:val>
                <c:extLst xmlns:c15="http://schemas.microsoft.com/office/drawing/2012/chart">
                  <c:ext xmlns:c16="http://schemas.microsoft.com/office/drawing/2014/chart" uri="{C3380CC4-5D6E-409C-BE32-E72D297353CC}">
                    <c16:uniqueId val="{00000008-784E-4CC0-B558-C84FDAF15C7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Summary!$A$149</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Summary!$B$149:$D$149</c15:sqref>
                        </c15:formulaRef>
                      </c:ext>
                    </c:extLst>
                    <c:numCache>
                      <c:formatCode>#,##0</c:formatCode>
                      <c:ptCount val="3"/>
                      <c:pt idx="0">
                        <c:v>0</c:v>
                      </c:pt>
                      <c:pt idx="1">
                        <c:v>279.34633541570969</c:v>
                      </c:pt>
                      <c:pt idx="2">
                        <c:v>4466.469923148933</c:v>
                      </c:pt>
                    </c:numCache>
                  </c:numRef>
                </c:val>
                <c:extLst xmlns:c15="http://schemas.microsoft.com/office/drawing/2012/chart">
                  <c:ext xmlns:c16="http://schemas.microsoft.com/office/drawing/2014/chart" uri="{C3380CC4-5D6E-409C-BE32-E72D297353CC}">
                    <c16:uniqueId val="{00000009-784E-4CC0-B558-C84FDAF15C7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Summary!$A$150</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Summary!$B$150:$D$150</c15:sqref>
                        </c15:formulaRef>
                      </c:ext>
                    </c:extLst>
                    <c:numCache>
                      <c:formatCode>#,##0</c:formatCode>
                      <c:ptCount val="3"/>
                      <c:pt idx="0">
                        <c:v>0</c:v>
                      </c:pt>
                      <c:pt idx="1">
                        <c:v>3798.1988687857665</c:v>
                      </c:pt>
                      <c:pt idx="2">
                        <c:v>61121.817579694783</c:v>
                      </c:pt>
                    </c:numCache>
                  </c:numRef>
                </c:val>
                <c:extLst xmlns:c15="http://schemas.microsoft.com/office/drawing/2012/chart">
                  <c:ext xmlns:c16="http://schemas.microsoft.com/office/drawing/2014/chart" uri="{C3380CC4-5D6E-409C-BE32-E72D297353CC}">
                    <c16:uniqueId val="{0000000A-784E-4CC0-B558-C84FDAF15C7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Summary!$A$152</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Summary!$B$152:$D$152</c15:sqref>
                        </c15:formulaRef>
                      </c:ext>
                    </c:extLst>
                    <c:numCache>
                      <c:formatCode>#,##0</c:formatCode>
                      <c:ptCount val="3"/>
                      <c:pt idx="0">
                        <c:v>0</c:v>
                      </c:pt>
                      <c:pt idx="1">
                        <c:v>1509432.446</c:v>
                      </c:pt>
                      <c:pt idx="2">
                        <c:v>37438052.732000001</c:v>
                      </c:pt>
                    </c:numCache>
                  </c:numRef>
                </c:val>
                <c:extLst xmlns:c15="http://schemas.microsoft.com/office/drawing/2012/chart">
                  <c:ext xmlns:c16="http://schemas.microsoft.com/office/drawing/2014/chart" uri="{C3380CC4-5D6E-409C-BE32-E72D297353CC}">
                    <c16:uniqueId val="{0000000B-784E-4CC0-B558-C84FDAF15C7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Summary!$A$153</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Summary!$B$153:$D$153</c15:sqref>
                        </c15:formulaRef>
                      </c:ext>
                    </c:extLst>
                    <c:numCache>
                      <c:formatCode>#,##0</c:formatCode>
                      <c:ptCount val="3"/>
                      <c:pt idx="0">
                        <c:v>0</c:v>
                      </c:pt>
                      <c:pt idx="1">
                        <c:v>167714.71622222223</c:v>
                      </c:pt>
                      <c:pt idx="2">
                        <c:v>4159783.6368888891</c:v>
                      </c:pt>
                    </c:numCache>
                  </c:numRef>
                </c:val>
                <c:extLst xmlns:c15="http://schemas.microsoft.com/office/drawing/2012/chart">
                  <c:ext xmlns:c16="http://schemas.microsoft.com/office/drawing/2014/chart" uri="{C3380CC4-5D6E-409C-BE32-E72D297353CC}">
                    <c16:uniqueId val="{0000000C-784E-4CC0-B558-C84FDAF15C7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Summary!$A$154</c15:sqref>
                        </c15:formulaRef>
                      </c:ext>
                    </c:extLst>
                    <c:strCache>
                      <c:ptCount val="1"/>
                      <c:pt idx="0">
                        <c:v>Emissions Intensity
(kg CO2/liter)</c:v>
                      </c:pt>
                    </c:strCache>
                  </c:strRef>
                </c:tx>
                <c:spPr>
                  <a:solidFill>
                    <a:schemeClr val="accent2">
                      <a:lumMod val="60000"/>
                    </a:schemeClr>
                  </a:solidFill>
                  <a:ln>
                    <a:solidFill>
                      <a:schemeClr val="accent6">
                        <a:lumMod val="75000"/>
                      </a:schemeClr>
                    </a:solidFill>
                  </a:ln>
                  <a:effectLst/>
                </c:spPr>
                <c:invertIfNegative val="0"/>
                <c:dPt>
                  <c:idx val="1"/>
                  <c:invertIfNegative val="0"/>
                  <c:bubble3D val="0"/>
                  <c:spPr>
                    <a:solidFill>
                      <a:srgbClr val="006699"/>
                    </a:solidFill>
                    <a:ln>
                      <a:solidFill>
                        <a:schemeClr val="accent6">
                          <a:lumMod val="75000"/>
                        </a:schemeClr>
                      </a:solidFill>
                    </a:ln>
                    <a:effectLst/>
                  </c:spPr>
                  <c:extLst xmlns:c15="http://schemas.microsoft.com/office/drawing/2012/chart">
                    <c:ext xmlns:c16="http://schemas.microsoft.com/office/drawing/2014/chart" uri="{C3380CC4-5D6E-409C-BE32-E72D297353CC}">
                      <c16:uniqueId val="{0000000E-784E-4CC0-B558-C84FDAF15C7F}"/>
                    </c:ext>
                  </c:extLst>
                </c:dPt>
                <c:dPt>
                  <c:idx val="2"/>
                  <c:invertIfNegative val="0"/>
                  <c:bubble3D val="0"/>
                  <c:spPr>
                    <a:solidFill>
                      <a:schemeClr val="accent6">
                        <a:lumMod val="75000"/>
                      </a:schemeClr>
                    </a:solidFill>
                    <a:ln>
                      <a:solidFill>
                        <a:schemeClr val="accent6">
                          <a:lumMod val="75000"/>
                        </a:schemeClr>
                      </a:solidFill>
                    </a:ln>
                    <a:effectLst/>
                  </c:spPr>
                  <c:extLst xmlns:c15="http://schemas.microsoft.com/office/drawing/2012/chart">
                    <c:ext xmlns:c16="http://schemas.microsoft.com/office/drawing/2014/chart" uri="{C3380CC4-5D6E-409C-BE32-E72D297353CC}">
                      <c16:uniqueId val="{00000010-784E-4CC0-B558-C84FDAF15C7F}"/>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Summary!$B$146:$D$146</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Summary!$B$154:$D$154</c15:sqref>
                        </c15:formulaRef>
                      </c:ext>
                    </c:extLst>
                    <c:numCache>
                      <c:formatCode>#,##0.00</c:formatCode>
                      <c:ptCount val="3"/>
                      <c:pt idx="0">
                        <c:v>0</c:v>
                      </c:pt>
                      <c:pt idx="1">
                        <c:v>4.1850195623614317</c:v>
                      </c:pt>
                      <c:pt idx="2">
                        <c:v>2.1236854793959354</c:v>
                      </c:pt>
                    </c:numCache>
                  </c:numRef>
                </c:val>
                <c:extLst xmlns:c15="http://schemas.microsoft.com/office/drawing/2012/chart">
                  <c:ext xmlns:c16="http://schemas.microsoft.com/office/drawing/2014/chart" uri="{C3380CC4-5D6E-409C-BE32-E72D297353CC}">
                    <c16:uniqueId val="{00000011-784E-4CC0-B558-C84FDAF15C7F}"/>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MT CO2e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ABSOLUTE Emissions - BASELINE </a:t>
            </a:r>
            <a:r>
              <a:rPr lang="en-US" sz="1100" i="1" baseline="0"/>
              <a:t>(Market based)</a:t>
            </a:r>
            <a:endParaRPr lang="en-US"/>
          </a:p>
        </c:rich>
      </c:tx>
      <c:layout>
        <c:manualLayout>
          <c:xMode val="edge"/>
          <c:yMode val="edge"/>
          <c:x val="0.20706603223591691"/>
          <c:y val="2.5023567822669176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4"/>
          <c:order val="4"/>
          <c:tx>
            <c:strRef>
              <c:f>Summary!$A$163</c:f>
              <c:strCache>
                <c:ptCount val="1"/>
                <c:pt idx="0">
                  <c:v>Total Scopes 1-2-3 Emissions (MTCO2e)</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7E83-4DF6-BC59-99EA35F69563}"/>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7E83-4DF6-BC59-99EA35F69563}"/>
              </c:ext>
            </c:extLst>
          </c:dPt>
          <c:dPt>
            <c:idx val="2"/>
            <c:invertIfNegative val="0"/>
            <c:bubble3D val="0"/>
            <c:spPr>
              <a:solidFill>
                <a:srgbClr val="7030A0"/>
              </a:solidFill>
              <a:ln>
                <a:noFill/>
              </a:ln>
              <a:effectLst/>
            </c:spPr>
            <c:extLst>
              <c:ext xmlns:c16="http://schemas.microsoft.com/office/drawing/2014/chart" uri="{C3380CC4-5D6E-409C-BE32-E72D297353CC}">
                <c16:uniqueId val="{00000005-7E83-4DF6-BC59-99EA35F69563}"/>
              </c:ext>
            </c:extLst>
          </c:dPt>
          <c:dLbls>
            <c:numFmt formatCode="#,##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Summary!$B$158:$D$158</c:f>
              <c:strCache>
                <c:ptCount val="3"/>
                <c:pt idx="0">
                  <c:v>Our Company (Baseline)</c:v>
                </c:pt>
                <c:pt idx="1">
                  <c:v>IWCA Average 
(Small Wineries, Baseline)</c:v>
                </c:pt>
                <c:pt idx="2">
                  <c:v>IWCA Average 
(Large Wineries, Baseline)</c:v>
                </c:pt>
              </c:strCache>
            </c:strRef>
          </c:cat>
          <c:val>
            <c:numRef>
              <c:f>Summary!$B$163:$D$163</c:f>
              <c:numCache>
                <c:formatCode>#,##0</c:formatCode>
                <c:ptCount val="3"/>
                <c:pt idx="0">
                  <c:v>0</c:v>
                </c:pt>
                <c:pt idx="1">
                  <c:v>4147.9666482758757</c:v>
                </c:pt>
                <c:pt idx="2">
                  <c:v>74380.192900746217</c:v>
                </c:pt>
              </c:numCache>
            </c:numRef>
          </c:val>
          <c:extLst>
            <c:ext xmlns:c16="http://schemas.microsoft.com/office/drawing/2014/chart" uri="{C3380CC4-5D6E-409C-BE32-E72D297353CC}">
              <c16:uniqueId val="{00000006-7E83-4DF6-BC59-99EA35F69563}"/>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Summary!$A$159</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Summary!$B$159:$D$159</c15:sqref>
                        </c15:formulaRef>
                      </c:ext>
                    </c:extLst>
                    <c:numCache>
                      <c:formatCode>#,##0</c:formatCode>
                      <c:ptCount val="3"/>
                      <c:pt idx="0" formatCode="0">
                        <c:v>0</c:v>
                      </c:pt>
                      <c:pt idx="1">
                        <c:v>0</c:v>
                      </c:pt>
                      <c:pt idx="2">
                        <c:v>0</c:v>
                      </c:pt>
                    </c:numCache>
                  </c:numRef>
                </c:val>
                <c:extLst>
                  <c:ext xmlns:c16="http://schemas.microsoft.com/office/drawing/2014/chart" uri="{C3380CC4-5D6E-409C-BE32-E72D297353CC}">
                    <c16:uniqueId val="{00000007-7E83-4DF6-BC59-99EA35F695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Summary!$A$160</c15:sqref>
                        </c15:formulaRef>
                      </c:ext>
                    </c:extLst>
                    <c:strCache>
                      <c:ptCount val="1"/>
                      <c:pt idx="0">
                        <c:v>Scope 1 Emissions (MTCO2e)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Summary!$B$160:$D$160</c15:sqref>
                        </c15:formulaRef>
                      </c:ext>
                    </c:extLst>
                    <c:numCache>
                      <c:formatCode>#,##0</c:formatCode>
                      <c:ptCount val="3"/>
                      <c:pt idx="0">
                        <c:v>0</c:v>
                      </c:pt>
                      <c:pt idx="1">
                        <c:v>662.3017110005743</c:v>
                      </c:pt>
                      <c:pt idx="2">
                        <c:v>6406.0937077310637</c:v>
                      </c:pt>
                    </c:numCache>
                  </c:numRef>
                </c:val>
                <c:extLst xmlns:c15="http://schemas.microsoft.com/office/drawing/2012/chart">
                  <c:ext xmlns:c16="http://schemas.microsoft.com/office/drawing/2014/chart" uri="{C3380CC4-5D6E-409C-BE32-E72D297353CC}">
                    <c16:uniqueId val="{00000008-7E83-4DF6-BC59-99EA35F695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Summary!$A$161</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Summary!$B$161:$D$161</c15:sqref>
                        </c15:formulaRef>
                      </c:ext>
                    </c:extLst>
                    <c:numCache>
                      <c:formatCode>#,##0</c:formatCode>
                      <c:ptCount val="3"/>
                      <c:pt idx="0">
                        <c:v>0</c:v>
                      </c:pt>
                      <c:pt idx="1">
                        <c:v>247.93545629874291</c:v>
                      </c:pt>
                      <c:pt idx="2">
                        <c:v>4364.3274197726187</c:v>
                      </c:pt>
                    </c:numCache>
                  </c:numRef>
                </c:val>
                <c:extLst xmlns:c15="http://schemas.microsoft.com/office/drawing/2012/chart">
                  <c:ext xmlns:c16="http://schemas.microsoft.com/office/drawing/2014/chart" uri="{C3380CC4-5D6E-409C-BE32-E72D297353CC}">
                    <c16:uniqueId val="{00000009-7E83-4DF6-BC59-99EA35F695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Summary!$A$162</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Summary!$B$162:$D$162</c15:sqref>
                        </c15:formulaRef>
                      </c:ext>
                    </c:extLst>
                    <c:numCache>
                      <c:formatCode>#,##0</c:formatCode>
                      <c:ptCount val="3"/>
                      <c:pt idx="0">
                        <c:v>0</c:v>
                      </c:pt>
                      <c:pt idx="1">
                        <c:v>3237.7294809765581</c:v>
                      </c:pt>
                      <c:pt idx="2">
                        <c:v>63609.77177324253</c:v>
                      </c:pt>
                    </c:numCache>
                  </c:numRef>
                </c:val>
                <c:extLst xmlns:c15="http://schemas.microsoft.com/office/drawing/2012/chart">
                  <c:ext xmlns:c16="http://schemas.microsoft.com/office/drawing/2014/chart" uri="{C3380CC4-5D6E-409C-BE32-E72D297353CC}">
                    <c16:uniqueId val="{0000000A-7E83-4DF6-BC59-99EA35F6956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Summary!$A$164</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Summary!$B$164:$D$164</c15:sqref>
                        </c15:formulaRef>
                      </c:ext>
                    </c:extLst>
                    <c:numCache>
                      <c:formatCode>#,##0</c:formatCode>
                      <c:ptCount val="3"/>
                      <c:pt idx="0">
                        <c:v>0</c:v>
                      </c:pt>
                      <c:pt idx="1">
                        <c:v>1383161.3935294119</c:v>
                      </c:pt>
                      <c:pt idx="2">
                        <c:v>41506700.785312496</c:v>
                      </c:pt>
                    </c:numCache>
                  </c:numRef>
                </c:val>
                <c:extLst xmlns:c15="http://schemas.microsoft.com/office/drawing/2012/chart">
                  <c:ext xmlns:c16="http://schemas.microsoft.com/office/drawing/2014/chart" uri="{C3380CC4-5D6E-409C-BE32-E72D297353CC}">
                    <c16:uniqueId val="{0000000B-7E83-4DF6-BC59-99EA35F6956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Summary!$A$165</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Summary!$B$165:$D$165</c15:sqref>
                        </c15:formulaRef>
                      </c:ext>
                    </c:extLst>
                    <c:numCache>
                      <c:formatCode>#,##0</c:formatCode>
                      <c:ptCount val="3"/>
                      <c:pt idx="0">
                        <c:v>0</c:v>
                      </c:pt>
                      <c:pt idx="1">
                        <c:v>153684.59928104575</c:v>
                      </c:pt>
                      <c:pt idx="2">
                        <c:v>4611855.6428124998</c:v>
                      </c:pt>
                    </c:numCache>
                  </c:numRef>
                </c:val>
                <c:extLst xmlns:c15="http://schemas.microsoft.com/office/drawing/2012/chart">
                  <c:ext xmlns:c16="http://schemas.microsoft.com/office/drawing/2014/chart" uri="{C3380CC4-5D6E-409C-BE32-E72D297353CC}">
                    <c16:uniqueId val="{0000000C-7E83-4DF6-BC59-99EA35F6956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Summary!$A$166</c15:sqref>
                        </c15:formulaRef>
                      </c:ext>
                    </c:extLst>
                    <c:strCache>
                      <c:ptCount val="1"/>
                      <c:pt idx="0">
                        <c:v>Emissions Intensity
(kg CO2/liter)</c:v>
                      </c:pt>
                    </c:strCache>
                  </c:strRef>
                </c:tx>
                <c:spPr>
                  <a:solidFill>
                    <a:schemeClr val="accent2">
                      <a:lumMod val="60000"/>
                    </a:schemeClr>
                  </a:solidFill>
                  <a:ln>
                    <a:noFill/>
                  </a:ln>
                  <a:effectLst/>
                </c:spPr>
                <c:invertIfNegative val="0"/>
                <c:dPt>
                  <c:idx val="1"/>
                  <c:invertIfNegative val="0"/>
                  <c:bubble3D val="0"/>
                  <c:spPr>
                    <a:solidFill>
                      <a:srgbClr val="006699"/>
                    </a:solidFill>
                    <a:ln>
                      <a:noFill/>
                    </a:ln>
                    <a:effectLst/>
                  </c:spPr>
                  <c:extLst xmlns:c15="http://schemas.microsoft.com/office/drawing/2012/chart">
                    <c:ext xmlns:c16="http://schemas.microsoft.com/office/drawing/2014/chart" uri="{C3380CC4-5D6E-409C-BE32-E72D297353CC}">
                      <c16:uniqueId val="{0000000E-7E83-4DF6-BC59-99EA35F69563}"/>
                    </c:ext>
                  </c:extLst>
                </c:dPt>
                <c:dPt>
                  <c:idx val="2"/>
                  <c:invertIfNegative val="0"/>
                  <c:bubble3D val="0"/>
                  <c:spPr>
                    <a:solidFill>
                      <a:schemeClr val="accent6">
                        <a:lumMod val="75000"/>
                      </a:schemeClr>
                    </a:solidFill>
                    <a:ln>
                      <a:noFill/>
                    </a:ln>
                    <a:effectLst/>
                  </c:spPr>
                  <c:extLst xmlns:c15="http://schemas.microsoft.com/office/drawing/2012/chart">
                    <c:ext xmlns:c16="http://schemas.microsoft.com/office/drawing/2014/chart" uri="{C3380CC4-5D6E-409C-BE32-E72D297353CC}">
                      <c16:uniqueId val="{00000010-7E83-4DF6-BC59-99EA35F69563}"/>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Summary!$B$158:$D$158</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Summary!$B$166:$D$166</c15:sqref>
                        </c15:formulaRef>
                      </c:ext>
                    </c:extLst>
                    <c:numCache>
                      <c:formatCode>#,##0.00</c:formatCode>
                      <c:ptCount val="3"/>
                      <c:pt idx="0">
                        <c:v>0</c:v>
                      </c:pt>
                      <c:pt idx="1">
                        <c:v>3.8671996684460548</c:v>
                      </c:pt>
                      <c:pt idx="2">
                        <c:v>1.8359380904382061</c:v>
                      </c:pt>
                    </c:numCache>
                  </c:numRef>
                </c:val>
                <c:extLst xmlns:c15="http://schemas.microsoft.com/office/drawing/2012/chart">
                  <c:ext xmlns:c16="http://schemas.microsoft.com/office/drawing/2014/chart" uri="{C3380CC4-5D6E-409C-BE32-E72D297353CC}">
                    <c16:uniqueId val="{00000011-7E83-4DF6-BC59-99EA35F69563}"/>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MT CO2E</a:t>
                </a:r>
              </a:p>
            </c:rich>
          </c:tx>
          <c:layout>
            <c:manualLayout>
              <c:xMode val="edge"/>
              <c:yMode val="edge"/>
              <c:x val="9.9818373227746685E-3"/>
              <c:y val="0.38739071411633424"/>
            </c:manualLayout>
          </c:layout>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ABSOLUTE Emissions - most recent year PAST BASELINE </a:t>
            </a:r>
            <a:r>
              <a:rPr lang="en-US" sz="1000" i="1"/>
              <a:t>(location</a:t>
            </a:r>
            <a:r>
              <a:rPr lang="en-US" sz="1000" i="1" baseline="0"/>
              <a:t> based)</a:t>
            </a:r>
            <a:endParaRPr lang="en-US" sz="1000" i="1"/>
          </a:p>
        </c:rich>
      </c:tx>
      <c:layout>
        <c:manualLayout>
          <c:xMode val="edge"/>
          <c:yMode val="edge"/>
          <c:x val="0.11008147996387352"/>
          <c:y val="8.4406554205211943E-3"/>
        </c:manualLayout>
      </c:layout>
      <c:overlay val="0"/>
      <c:spPr>
        <a:solidFill>
          <a:srgbClr val="FFFF00"/>
        </a:solidFill>
        <a:ln w="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8108210341417599E-2"/>
          <c:y val="0.19256858890452216"/>
          <c:w val="0.9448177693869575"/>
          <c:h val="0.57860751787957376"/>
        </c:manualLayout>
      </c:layout>
      <c:barChart>
        <c:barDir val="col"/>
        <c:grouping val="clustered"/>
        <c:varyColors val="0"/>
        <c:ser>
          <c:idx val="4"/>
          <c:order val="4"/>
          <c:tx>
            <c:strRef>
              <c:f>Summary!$A$151</c:f>
              <c:strCache>
                <c:ptCount val="1"/>
                <c:pt idx="0">
                  <c:v>Total Scopes 1-2-3 Emissions (MTCO2e)</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33D9-49B3-8DC5-BF1C129A23FA}"/>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33D9-49B3-8DC5-BF1C129A23FA}"/>
              </c:ext>
            </c:extLst>
          </c:dPt>
          <c:dPt>
            <c:idx val="2"/>
            <c:invertIfNegative val="0"/>
            <c:bubble3D val="0"/>
            <c:spPr>
              <a:solidFill>
                <a:srgbClr val="7030A0"/>
              </a:solidFill>
              <a:ln>
                <a:noFill/>
              </a:ln>
              <a:effectLst/>
            </c:spPr>
            <c:extLst>
              <c:ext xmlns:c16="http://schemas.microsoft.com/office/drawing/2014/chart" uri="{C3380CC4-5D6E-409C-BE32-E72D297353CC}">
                <c16:uniqueId val="{00000005-D845-4015-99BE-845C41C7D8FE}"/>
              </c:ext>
            </c:extLst>
          </c:dPt>
          <c:dLbls>
            <c:numFmt formatCode="#,##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ext>
              </c:extLst>
              <c:f>(Summary!$E$146,Summary!$G$146:$H$146)</c:f>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Summary!$E$151:$H$151</c15:sqref>
                  </c15:fullRef>
                </c:ext>
              </c:extLst>
              <c:f>(Summary!$E$151,Summary!$G$151:$H$151)</c:f>
              <c:numCache>
                <c:formatCode>#,##0</c:formatCode>
                <c:ptCount val="3"/>
                <c:pt idx="0">
                  <c:v>0</c:v>
                </c:pt>
                <c:pt idx="1">
                  <c:v>3247.9333333333329</c:v>
                </c:pt>
                <c:pt idx="2">
                  <c:v>63243.5989350698</c:v>
                </c:pt>
              </c:numCache>
            </c:numRef>
          </c:val>
          <c:extLst xmlns:c15="http://schemas.microsoft.com/office/drawing/2012/chart">
            <c:ext xmlns:c16="http://schemas.microsoft.com/office/drawing/2014/chart" uri="{C3380CC4-5D6E-409C-BE32-E72D297353CC}">
              <c16:uniqueId val="{00000006-33D9-49B3-8DC5-BF1C129A23FA}"/>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Summary!$A$147</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uri="{02D57815-91ED-43cb-92C2-25804820EDAC}">
                        <c15:fullRef>
                          <c15:sqref>Summary!$E$147:$H$147</c15:sqref>
                        </c15:fullRef>
                        <c15:formulaRef>
                          <c15:sqref>(Summary!$E$147,Summary!$G$147:$H$147)</c15:sqref>
                        </c15:formulaRef>
                      </c:ext>
                    </c:extLst>
                    <c:numCache>
                      <c:formatCode>0</c:formatCode>
                      <c:ptCount val="3"/>
                      <c:pt idx="0">
                        <c:v>0</c:v>
                      </c:pt>
                      <c:pt idx="1" formatCode="#,##0">
                        <c:v>0</c:v>
                      </c:pt>
                      <c:pt idx="2" formatCode="#,##0">
                        <c:v>0</c:v>
                      </c:pt>
                    </c:numCache>
                  </c:numRef>
                </c:val>
                <c:extLst>
                  <c:ext xmlns:c16="http://schemas.microsoft.com/office/drawing/2014/chart" uri="{C3380CC4-5D6E-409C-BE32-E72D297353CC}">
                    <c16:uniqueId val="{00000007-33D9-49B3-8DC5-BF1C129A23FA}"/>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Summary!$A$148</c15:sqref>
                        </c15:formulaRef>
                      </c:ext>
                    </c:extLst>
                    <c:strCache>
                      <c:ptCount val="1"/>
                      <c:pt idx="0">
                        <c:v>Scope 1 Emissions (MTCO2e)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Summary!$E$148:$H$148</c15:sqref>
                        </c15:fullRef>
                        <c15:formulaRef>
                          <c15:sqref>(Summary!$E$148,Summary!$G$148:$H$148)</c15:sqref>
                        </c15:formulaRef>
                      </c:ext>
                    </c:extLst>
                    <c:numCache>
                      <c:formatCode>#,##0</c:formatCode>
                      <c:ptCount val="3"/>
                      <c:pt idx="0">
                        <c:v>0</c:v>
                      </c:pt>
                      <c:pt idx="1">
                        <c:v>597.83333333333337</c:v>
                      </c:pt>
                      <c:pt idx="2">
                        <c:v>7894.6612628314097</c:v>
                      </c:pt>
                    </c:numCache>
                  </c:numRef>
                </c:val>
                <c:extLst xmlns:c15="http://schemas.microsoft.com/office/drawing/2012/chart">
                  <c:ext xmlns:c16="http://schemas.microsoft.com/office/drawing/2014/chart" uri="{C3380CC4-5D6E-409C-BE32-E72D297353CC}">
                    <c16:uniqueId val="{00000008-33D9-49B3-8DC5-BF1C129A23F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Summary!$A$149</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Summary!$E$149:$H$149</c15:sqref>
                        </c15:fullRef>
                        <c15:formulaRef>
                          <c15:sqref>(Summary!$E$149,Summary!$G$149:$H$149)</c15:sqref>
                        </c15:formulaRef>
                      </c:ext>
                    </c:extLst>
                    <c:numCache>
                      <c:formatCode>#,##0</c:formatCode>
                      <c:ptCount val="3"/>
                      <c:pt idx="0">
                        <c:v>0</c:v>
                      </c:pt>
                      <c:pt idx="1">
                        <c:v>279.36666666666667</c:v>
                      </c:pt>
                      <c:pt idx="2">
                        <c:v>2392.8469758714309</c:v>
                      </c:pt>
                    </c:numCache>
                  </c:numRef>
                </c:val>
                <c:extLst xmlns:c15="http://schemas.microsoft.com/office/drawing/2012/chart">
                  <c:ext xmlns:c16="http://schemas.microsoft.com/office/drawing/2014/chart" uri="{C3380CC4-5D6E-409C-BE32-E72D297353CC}">
                    <c16:uniqueId val="{00000009-33D9-49B3-8DC5-BF1C129A23F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Summary!$A$150</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Summary!$E$150:$H$150</c15:sqref>
                        </c15:fullRef>
                        <c15:formulaRef>
                          <c15:sqref>(Summary!$E$150,Summary!$G$150:$H$150)</c15:sqref>
                        </c15:formulaRef>
                      </c:ext>
                    </c:extLst>
                    <c:numCache>
                      <c:formatCode>#,##0</c:formatCode>
                      <c:ptCount val="3"/>
                      <c:pt idx="0">
                        <c:v>0</c:v>
                      </c:pt>
                      <c:pt idx="1">
                        <c:v>2370.7333333333331</c:v>
                      </c:pt>
                      <c:pt idx="2">
                        <c:v>53180.67464364849</c:v>
                      </c:pt>
                    </c:numCache>
                  </c:numRef>
                </c:val>
                <c:extLst xmlns:c15="http://schemas.microsoft.com/office/drawing/2012/chart">
                  <c:ext xmlns:c16="http://schemas.microsoft.com/office/drawing/2014/chart" uri="{C3380CC4-5D6E-409C-BE32-E72D297353CC}">
                    <c16:uniqueId val="{0000000A-33D9-49B3-8DC5-BF1C129A23F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Summary!$A$152</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Summary!$E$152:$H$152</c15:sqref>
                        </c15:fullRef>
                        <c15:formulaRef>
                          <c15:sqref>(Summary!$E$152,Summary!$G$152:$H$152)</c15:sqref>
                        </c15:formulaRef>
                      </c:ext>
                    </c:extLst>
                    <c:numCache>
                      <c:formatCode>#,##0</c:formatCode>
                      <c:ptCount val="3"/>
                      <c:pt idx="0">
                        <c:v>0</c:v>
                      </c:pt>
                      <c:pt idx="1">
                        <c:v>1664879</c:v>
                      </c:pt>
                      <c:pt idx="2">
                        <c:v>44263156.344917543</c:v>
                      </c:pt>
                    </c:numCache>
                  </c:numRef>
                </c:val>
                <c:extLst xmlns:c15="http://schemas.microsoft.com/office/drawing/2012/chart">
                  <c:ext xmlns:c16="http://schemas.microsoft.com/office/drawing/2014/chart" uri="{C3380CC4-5D6E-409C-BE32-E72D297353CC}">
                    <c16:uniqueId val="{0000000B-33D9-49B3-8DC5-BF1C129A23F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Summary!$A$153</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Summary!$E$153:$H$153</c15:sqref>
                        </c15:fullRef>
                        <c15:formulaRef>
                          <c15:sqref>(Summary!$E$153,Summary!$G$153:$H$153)</c15:sqref>
                        </c15:formulaRef>
                      </c:ext>
                    </c:extLst>
                    <c:numCache>
                      <c:formatCode>#,##0</c:formatCode>
                      <c:ptCount val="3"/>
                      <c:pt idx="0">
                        <c:v>0</c:v>
                      </c:pt>
                      <c:pt idx="1">
                        <c:v>184986.55555555556</c:v>
                      </c:pt>
                      <c:pt idx="2">
                        <c:v>4918128.4827686157</c:v>
                      </c:pt>
                    </c:numCache>
                  </c:numRef>
                </c:val>
                <c:extLst xmlns:c15="http://schemas.microsoft.com/office/drawing/2012/chart">
                  <c:ext xmlns:c16="http://schemas.microsoft.com/office/drawing/2014/chart" uri="{C3380CC4-5D6E-409C-BE32-E72D297353CC}">
                    <c16:uniqueId val="{0000000C-33D9-49B3-8DC5-BF1C129A23F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Summary!$A$154</c15:sqref>
                        </c15:formulaRef>
                      </c:ext>
                    </c:extLst>
                    <c:strCache>
                      <c:ptCount val="1"/>
                      <c:pt idx="0">
                        <c:v>Emissions Intensity
(kg CO2/liter)</c:v>
                      </c:pt>
                    </c:strCache>
                  </c:strRef>
                </c:tx>
                <c:spPr>
                  <a:solidFill>
                    <a:schemeClr val="accent2">
                      <a:lumMod val="60000"/>
                    </a:schemeClr>
                  </a:solidFill>
                  <a:ln>
                    <a:noFill/>
                  </a:ln>
                  <a:effectLst/>
                </c:spPr>
                <c:invertIfNegative val="0"/>
                <c:dPt>
                  <c:idx val="1"/>
                  <c:invertIfNegative val="0"/>
                  <c:bubble3D val="0"/>
                  <c:spPr>
                    <a:solidFill>
                      <a:srgbClr val="006699"/>
                    </a:solidFill>
                    <a:ln>
                      <a:noFill/>
                    </a:ln>
                    <a:effectLst/>
                  </c:spPr>
                  <c:extLst xmlns:c15="http://schemas.microsoft.com/office/drawing/2012/chart">
                    <c:ext xmlns:c16="http://schemas.microsoft.com/office/drawing/2014/chart" uri="{C3380CC4-5D6E-409C-BE32-E72D297353CC}">
                      <c16:uniqueId val="{0000000E-33D9-49B3-8DC5-BF1C129A23FA}"/>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9-D845-4015-99BE-845C41C7D8FE}"/>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Summary!$E$146:$H$146</c15:sqref>
                        </c15:fullRef>
                        <c15:formulaRef>
                          <c15:sqref>(Summary!$E$146,Summary!$G$146:$H$146)</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Summary!$E$154:$H$154</c15:sqref>
                        </c15:fullRef>
                        <c15:formulaRef>
                          <c15:sqref>(Summary!$E$154,Summary!$G$154:$H$154)</c15:sqref>
                        </c15:formulaRef>
                      </c:ext>
                    </c:extLst>
                    <c:numCache>
                      <c:formatCode>#,##0.00</c:formatCode>
                      <c:ptCount val="3"/>
                      <c:pt idx="0">
                        <c:v>0</c:v>
                      </c:pt>
                      <c:pt idx="1">
                        <c:v>2.5545777751454879</c:v>
                      </c:pt>
                      <c:pt idx="2">
                        <c:v>1.4592771299212028</c:v>
                      </c:pt>
                    </c:numCache>
                  </c:numRef>
                </c:val>
                <c:extLst xmlns:c15="http://schemas.microsoft.com/office/drawing/2012/chart">
                  <c:ext xmlns:c16="http://schemas.microsoft.com/office/drawing/2014/chart" uri="{C3380CC4-5D6E-409C-BE32-E72D297353CC}">
                    <c16:uniqueId val="{00000011-33D9-49B3-8DC5-BF1C129A23FA}"/>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MT CO2E</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ABSOLUTE Emissions - most recent year PAST BASELINE</a:t>
            </a:r>
          </a:p>
          <a:p>
            <a:pPr>
              <a:defRPr/>
            </a:pPr>
            <a:r>
              <a:rPr lang="en-US" sz="1000" i="1"/>
              <a:t>(Market</a:t>
            </a:r>
            <a:r>
              <a:rPr lang="en-US" sz="1000" i="1" baseline="0"/>
              <a:t> based)</a:t>
            </a:r>
            <a:endParaRPr lang="en-US" sz="1000" i="1"/>
          </a:p>
        </c:rich>
      </c:tx>
      <c:layout>
        <c:manualLayout>
          <c:xMode val="edge"/>
          <c:yMode val="edge"/>
          <c:x val="0.12834898311507853"/>
          <c:y val="2.4397329375919641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6442952494972501E-2"/>
          <c:y val="0.21220111640355827"/>
          <c:w val="0.94667614598598893"/>
          <c:h val="0.54352899182080239"/>
        </c:manualLayout>
      </c:layout>
      <c:barChart>
        <c:barDir val="col"/>
        <c:grouping val="clustered"/>
        <c:varyColors val="0"/>
        <c:ser>
          <c:idx val="4"/>
          <c:order val="4"/>
          <c:tx>
            <c:strRef>
              <c:f>Summary!$A$163</c:f>
              <c:strCache>
                <c:ptCount val="1"/>
                <c:pt idx="0">
                  <c:v>Total Scopes 1-2-3 Emissions (MTCO2e)</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B4C1-4280-B465-D3E654DF96D7}"/>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B4C1-4280-B465-D3E654DF96D7}"/>
              </c:ext>
            </c:extLst>
          </c:dPt>
          <c:dPt>
            <c:idx val="2"/>
            <c:invertIfNegative val="0"/>
            <c:bubble3D val="0"/>
            <c:spPr>
              <a:solidFill>
                <a:srgbClr val="7030A0"/>
              </a:solidFill>
              <a:ln>
                <a:noFill/>
              </a:ln>
              <a:effectLst/>
            </c:spPr>
            <c:extLst>
              <c:ext xmlns:c16="http://schemas.microsoft.com/office/drawing/2014/chart" uri="{C3380CC4-5D6E-409C-BE32-E72D297353CC}">
                <c16:uniqueId val="{00000005-E9C3-42BD-82F7-399E465344BD}"/>
              </c:ext>
            </c:extLst>
          </c:dPt>
          <c:dLbls>
            <c:numFmt formatCode="#,##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ext>
              </c:extLst>
              <c:f>(Summary!$E$158,Summary!$G$158:$H$158)</c:f>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Summary!$E$163:$H$163</c15:sqref>
                  </c15:fullRef>
                </c:ext>
              </c:extLst>
              <c:f>(Summary!$E$163,Summary!$G$163:$H$163)</c:f>
              <c:numCache>
                <c:formatCode>#,##0</c:formatCode>
                <c:ptCount val="3"/>
                <c:pt idx="0">
                  <c:v>0</c:v>
                </c:pt>
                <c:pt idx="1">
                  <c:v>3786.4523591257857</c:v>
                </c:pt>
                <c:pt idx="2">
                  <c:v>55427.151511738026</c:v>
                </c:pt>
              </c:numCache>
            </c:numRef>
          </c:val>
          <c:extLst xmlns:c15="http://schemas.microsoft.com/office/drawing/2012/chart">
            <c:ext xmlns:c16="http://schemas.microsoft.com/office/drawing/2014/chart" uri="{C3380CC4-5D6E-409C-BE32-E72D297353CC}">
              <c16:uniqueId val="{00000006-B4C1-4280-B465-D3E654DF96D7}"/>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Summary!$A$159</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uri="{02D57815-91ED-43cb-92C2-25804820EDAC}">
                        <c15:fullRef>
                          <c15:sqref>Summary!$E$159:$H$159</c15:sqref>
                        </c15:fullRef>
                        <c15:formulaRef>
                          <c15:sqref>(Summary!$E$159,Summary!$G$159:$H$159)</c15:sqref>
                        </c15:formulaRef>
                      </c:ext>
                    </c:extLst>
                    <c:numCache>
                      <c:formatCode>0</c:formatCode>
                      <c:ptCount val="3"/>
                      <c:pt idx="0">
                        <c:v>0</c:v>
                      </c:pt>
                      <c:pt idx="1" formatCode="#,##0">
                        <c:v>0</c:v>
                      </c:pt>
                      <c:pt idx="2" formatCode="#,##0">
                        <c:v>0</c:v>
                      </c:pt>
                    </c:numCache>
                  </c:numRef>
                </c:val>
                <c:extLst>
                  <c:ext xmlns:c16="http://schemas.microsoft.com/office/drawing/2014/chart" uri="{C3380CC4-5D6E-409C-BE32-E72D297353CC}">
                    <c16:uniqueId val="{00000007-B4C1-4280-B465-D3E654DF96D7}"/>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Summary!$A$160</c15:sqref>
                        </c15:formulaRef>
                      </c:ext>
                    </c:extLst>
                    <c:strCache>
                      <c:ptCount val="1"/>
                      <c:pt idx="0">
                        <c:v>Scope 1 Emissions (MTCO2e)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Summary!$E$160:$H$160</c15:sqref>
                        </c15:fullRef>
                        <c15:formulaRef>
                          <c15:sqref>(Summary!$E$160,Summary!$G$160:$H$160)</c15:sqref>
                        </c15:formulaRef>
                      </c:ext>
                    </c:extLst>
                    <c:numCache>
                      <c:formatCode>#,##0</c:formatCode>
                      <c:ptCount val="3"/>
                      <c:pt idx="0">
                        <c:v>0</c:v>
                      </c:pt>
                      <c:pt idx="1">
                        <c:v>678.17593996843652</c:v>
                      </c:pt>
                      <c:pt idx="2">
                        <c:v>5899.7262505907638</c:v>
                      </c:pt>
                    </c:numCache>
                  </c:numRef>
                </c:val>
                <c:extLst xmlns:c15="http://schemas.microsoft.com/office/drawing/2012/chart">
                  <c:ext xmlns:c16="http://schemas.microsoft.com/office/drawing/2014/chart" uri="{C3380CC4-5D6E-409C-BE32-E72D297353CC}">
                    <c16:uniqueId val="{00000008-B4C1-4280-B465-D3E654DF96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Summary!$A$161</c15:sqref>
                        </c15:formulaRef>
                      </c:ext>
                    </c:extLst>
                    <c:strCache>
                      <c:ptCount val="1"/>
                      <c:pt idx="0">
                        <c:v>Scope 2 Emissions (MTCO2e)</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Summary!$E$161:$H$161</c15:sqref>
                        </c15:fullRef>
                        <c15:formulaRef>
                          <c15:sqref>(Summary!$E$161,Summary!$G$161:$H$161)</c15:sqref>
                        </c15:formulaRef>
                      </c:ext>
                    </c:extLst>
                    <c:numCache>
                      <c:formatCode>#,##0</c:formatCode>
                      <c:ptCount val="3"/>
                      <c:pt idx="0">
                        <c:v>0</c:v>
                      </c:pt>
                      <c:pt idx="1">
                        <c:v>184.97690890195773</c:v>
                      </c:pt>
                      <c:pt idx="2">
                        <c:v>1197.3259159838133</c:v>
                      </c:pt>
                    </c:numCache>
                  </c:numRef>
                </c:val>
                <c:extLst xmlns:c15="http://schemas.microsoft.com/office/drawing/2012/chart">
                  <c:ext xmlns:c16="http://schemas.microsoft.com/office/drawing/2014/chart" uri="{C3380CC4-5D6E-409C-BE32-E72D297353CC}">
                    <c16:uniqueId val="{00000009-B4C1-4280-B465-D3E654DF96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Summary!$A$162</c15:sqref>
                        </c15:formulaRef>
                      </c:ext>
                    </c:extLst>
                    <c:strCache>
                      <c:ptCount val="1"/>
                      <c:pt idx="0">
                        <c:v>Scope 3 Emissions (MTCO2e)</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Summary!$E$162:$H$162</c15:sqref>
                        </c15:fullRef>
                        <c15:formulaRef>
                          <c15:sqref>(Summary!$E$162,Summary!$G$162:$H$162)</c15:sqref>
                        </c15:formulaRef>
                      </c:ext>
                    </c:extLst>
                    <c:numCache>
                      <c:formatCode>#,##0</c:formatCode>
                      <c:ptCount val="3"/>
                      <c:pt idx="0">
                        <c:v>0</c:v>
                      </c:pt>
                      <c:pt idx="1">
                        <c:v>2923.2995102553919</c:v>
                      </c:pt>
                      <c:pt idx="2">
                        <c:v>48330.099345163442</c:v>
                      </c:pt>
                    </c:numCache>
                  </c:numRef>
                </c:val>
                <c:extLst xmlns:c15="http://schemas.microsoft.com/office/drawing/2012/chart">
                  <c:ext xmlns:c16="http://schemas.microsoft.com/office/drawing/2014/chart" uri="{C3380CC4-5D6E-409C-BE32-E72D297353CC}">
                    <c16:uniqueId val="{0000000A-B4C1-4280-B465-D3E654DF9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Summary!$A$164</c15:sqref>
                        </c15:formulaRef>
                      </c:ext>
                    </c:extLst>
                    <c:strCache>
                      <c:ptCount val="1"/>
                      <c:pt idx="0">
                        <c:v>Production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Summary!$E$164:$H$164</c15:sqref>
                        </c15:fullRef>
                        <c15:formulaRef>
                          <c15:sqref>(Summary!$E$164,Summary!$G$164:$H$164)</c15:sqref>
                        </c15:formulaRef>
                      </c:ext>
                    </c:extLst>
                    <c:numCache>
                      <c:formatCode>#,##0</c:formatCode>
                      <c:ptCount val="3"/>
                      <c:pt idx="0">
                        <c:v>0</c:v>
                      </c:pt>
                      <c:pt idx="1">
                        <c:v>1451306.5</c:v>
                      </c:pt>
                      <c:pt idx="2">
                        <c:v>38057729.273794033</c:v>
                      </c:pt>
                    </c:numCache>
                  </c:numRef>
                </c:val>
                <c:extLst xmlns:c15="http://schemas.microsoft.com/office/drawing/2012/chart">
                  <c:ext xmlns:c16="http://schemas.microsoft.com/office/drawing/2014/chart" uri="{C3380CC4-5D6E-409C-BE32-E72D297353CC}">
                    <c16:uniqueId val="{0000000B-B4C1-4280-B465-D3E654DF9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Summary!$A$165</c15:sqref>
                        </c15:formulaRef>
                      </c:ext>
                    </c:extLst>
                    <c:strCache>
                      <c:ptCount val="1"/>
                      <c:pt idx="0">
                        <c:v>Production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Summary!$E$165:$H$165</c15:sqref>
                        </c15:fullRef>
                        <c15:formulaRef>
                          <c15:sqref>(Summary!$E$165,Summary!$G$165:$H$165)</c15:sqref>
                        </c15:formulaRef>
                      </c:ext>
                    </c:extLst>
                    <c:numCache>
                      <c:formatCode>#,##0</c:formatCode>
                      <c:ptCount val="3"/>
                      <c:pt idx="0">
                        <c:v>0</c:v>
                      </c:pt>
                      <c:pt idx="1">
                        <c:v>161256.27777777778</c:v>
                      </c:pt>
                      <c:pt idx="2">
                        <c:v>4228636.5859771147</c:v>
                      </c:pt>
                    </c:numCache>
                  </c:numRef>
                </c:val>
                <c:extLst xmlns:c15="http://schemas.microsoft.com/office/drawing/2012/chart">
                  <c:ext xmlns:c16="http://schemas.microsoft.com/office/drawing/2014/chart" uri="{C3380CC4-5D6E-409C-BE32-E72D297353CC}">
                    <c16:uniqueId val="{0000000C-B4C1-4280-B465-D3E654DF9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Summary!$A$166</c15:sqref>
                        </c15:formulaRef>
                      </c:ext>
                    </c:extLst>
                    <c:strCache>
                      <c:ptCount val="1"/>
                      <c:pt idx="0">
                        <c:v>Emissions Intensity
(kg CO2/liter)</c:v>
                      </c:pt>
                    </c:strCache>
                  </c:strRef>
                </c:tx>
                <c:spPr>
                  <a:solidFill>
                    <a:schemeClr val="accent2">
                      <a:lumMod val="60000"/>
                    </a:schemeClr>
                  </a:solidFill>
                  <a:ln>
                    <a:noFill/>
                  </a:ln>
                  <a:effectLst/>
                </c:spPr>
                <c:invertIfNegative val="0"/>
                <c:dPt>
                  <c:idx val="1"/>
                  <c:invertIfNegative val="0"/>
                  <c:bubble3D val="0"/>
                  <c:spPr>
                    <a:solidFill>
                      <a:srgbClr val="006699"/>
                    </a:solidFill>
                    <a:ln>
                      <a:noFill/>
                    </a:ln>
                    <a:effectLst/>
                  </c:spPr>
                  <c:extLst xmlns:c15="http://schemas.microsoft.com/office/drawing/2012/chart">
                    <c:ext xmlns:c16="http://schemas.microsoft.com/office/drawing/2014/chart" uri="{C3380CC4-5D6E-409C-BE32-E72D297353CC}">
                      <c16:uniqueId val="{0000000E-B4C1-4280-B465-D3E654DF96D7}"/>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9-E9C3-42BD-82F7-399E465344BD}"/>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Summary!$E$158:$H$158</c15:sqref>
                        </c15:fullRef>
                        <c15:formulaRef>
                          <c15:sqref>(Summary!$E$158,Summary!$G$158:$H$158)</c15:sqref>
                        </c15:formulaRef>
                      </c:ext>
                    </c:extLst>
                    <c:strCache>
                      <c:ptCount val="3"/>
                      <c:pt idx="0">
                        <c:v>Our Company (Most Recent Year)</c:v>
                      </c:pt>
                      <c:pt idx="1">
                        <c:v>IWCA Average 
(Small Wineries,
Most Recent Year Past Baseline)</c:v>
                      </c:pt>
                      <c:pt idx="2">
                        <c:v>IWCA Average 
(Large Wineries,
Most Recent Year Past Baseline)</c:v>
                      </c:pt>
                    </c:strCache>
                  </c:strRef>
                </c:cat>
                <c:val>
                  <c:numRef>
                    <c:extLst>
                      <c:ext xmlns:c15="http://schemas.microsoft.com/office/drawing/2012/chart" uri="{02D57815-91ED-43cb-92C2-25804820EDAC}">
                        <c15:fullRef>
                          <c15:sqref>Summary!$E$166:$H$166</c15:sqref>
                        </c15:fullRef>
                        <c15:formulaRef>
                          <c15:sqref>(Summary!$E$166,Summary!$G$166:$H$166)</c15:sqref>
                        </c15:formulaRef>
                      </c:ext>
                    </c:extLst>
                    <c:numCache>
                      <c:formatCode>#,##0.00</c:formatCode>
                      <c:ptCount val="3"/>
                      <c:pt idx="0">
                        <c:v>0</c:v>
                      </c:pt>
                      <c:pt idx="1">
                        <c:v>3.4301846009787176</c:v>
                      </c:pt>
                      <c:pt idx="2">
                        <c:v>1.522055865860944</c:v>
                      </c:pt>
                    </c:numCache>
                  </c:numRef>
                </c:val>
                <c:extLst xmlns:c15="http://schemas.microsoft.com/office/drawing/2012/chart">
                  <c:ext xmlns:c16="http://schemas.microsoft.com/office/drawing/2014/chart" uri="{C3380CC4-5D6E-409C-BE32-E72D297353CC}">
                    <c16:uniqueId val="{00000011-B4C1-4280-B465-D3E654DF96D7}"/>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de-DE"/>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MT CO2E</a:t>
                </a:r>
                <a:endParaRPr lang="en-US" sz="1200">
                  <a:effectLst/>
                </a:endParaRPr>
              </a:p>
            </c:rich>
          </c:tx>
          <c:layout>
            <c:manualLayout>
              <c:xMode val="edge"/>
              <c:yMode val="edge"/>
              <c:x val="9.6254215670164393E-3"/>
              <c:y val="0.38778801690597653"/>
            </c:manualLayout>
          </c:layout>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Visual Emisisons Breakdown (Location-Based)</cx:v>
        </cx:txData>
      </cx:tx>
      <cx:txPr>
        <a:bodyPr spcFirstLastPara="1" vertOverflow="ellipsis" horzOverflow="overflow" wrap="square" lIns="0" tIns="0" rIns="0" bIns="0" anchor="ctr" anchorCtr="1"/>
        <a:lstStyle/>
        <a:p>
          <a:pPr algn="ctr" rtl="0">
            <a:defRPr sz="5000">
              <a:solidFill>
                <a:sysClr val="windowText" lastClr="000000"/>
              </a:solidFill>
            </a:defRPr>
          </a:pPr>
          <a:r>
            <a:rPr lang="en-US" sz="5000" b="1" i="0" u="none" strike="noStrike" baseline="0">
              <a:solidFill>
                <a:sysClr val="windowText" lastClr="000000"/>
              </a:solidFill>
              <a:latin typeface="Calibri" panose="020F0502020204030204"/>
            </a:rPr>
            <a:t>Visual Emisisons Breakdown (Location-Based)</a:t>
          </a:r>
        </a:p>
      </cx:txPr>
    </cx:title>
    <cx:plotArea>
      <cx:plotAreaRegion>
        <cx:series layoutId="sunburst" uniqueId="{945D9A90-D02C-41A5-BD0A-B9E6D599D778}">
          <cx:dataLabels>
            <cx:txPr>
              <a:bodyPr spcFirstLastPara="1" vertOverflow="ellipsis" horzOverflow="overflow" wrap="square" lIns="38100" tIns="19050" rIns="38100" bIns="19050" anchor="ctr" anchorCtr="1">
                <a:spAutoFit/>
              </a:bodyPr>
              <a:lstStyle/>
              <a:p>
                <a:pPr algn="ctr" rtl="0">
                  <a:defRPr sz="1200">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series>
      </cx:plotAreaRegion>
    </cx:plotArea>
  </cx:chart>
  <cx:spPr>
    <a:solidFill>
      <a:schemeClr val="bg1"/>
    </a:solidFill>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_xlchart.v1.4</cx:f>
      </cx:numDim>
    </cx:data>
  </cx:chartData>
  <cx:chart>
    <cx:title pos="t" align="ctr" overlay="0">
      <cx:tx>
        <cx:txData>
          <cx:v>Visual Emissions Treemap (Location-Based)</cx:v>
        </cx:txData>
      </cx:tx>
      <cx:txPr>
        <a:bodyPr spcFirstLastPara="1" vertOverflow="ellipsis" horzOverflow="overflow" wrap="square" lIns="0" tIns="0" rIns="0" bIns="0" anchor="ctr" anchorCtr="1"/>
        <a:lstStyle/>
        <a:p>
          <a:pPr algn="ctr" rtl="0">
            <a:defRPr sz="5000" b="1"/>
          </a:pPr>
          <a:r>
            <a:rPr lang="en-US" sz="5000" b="1" i="0" u="none" strike="noStrike" baseline="0">
              <a:solidFill>
                <a:sysClr val="windowText" lastClr="000000"/>
              </a:solidFill>
              <a:latin typeface="Calibri" panose="020F0502020204030204"/>
            </a:rPr>
            <a:t>Visual Emissions Treemap (Location-Based)</a:t>
          </a:r>
        </a:p>
      </cx:txPr>
    </cx:title>
    <cx:plotArea>
      <cx:plotAreaRegion>
        <cx:series layoutId="treemap" uniqueId="{BAF25C36-9C04-435F-B587-5F11426CFF38}">
          <cx:tx>
            <cx:txData>
              <cx:f>_xlchart.v1.3</cx:f>
              <cx:v>Total CO2e
(tons)  - Location</cx:v>
            </cx:txData>
          </cx:tx>
          <cx:dataLabels>
            <cx:txPr>
              <a:bodyPr spcFirstLastPara="1" vertOverflow="ellipsis" horzOverflow="overflow" wrap="square" lIns="0" tIns="0" rIns="0" bIns="0" anchor="ctr" anchorCtr="1"/>
              <a:lstStyle/>
              <a:p>
                <a:pPr algn="ctr" rtl="0">
                  <a:defRPr sz="1200" b="1">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Visual Emisisons Breakdown (Market-Based)</cx:v>
        </cx:txData>
      </cx:tx>
      <cx:txPr>
        <a:bodyPr spcFirstLastPara="1" vertOverflow="ellipsis" horzOverflow="overflow" wrap="square" lIns="0" tIns="0" rIns="0" bIns="0" anchor="ctr" anchorCtr="1"/>
        <a:lstStyle/>
        <a:p>
          <a:pPr algn="ctr" rtl="0">
            <a:defRPr sz="5000">
              <a:solidFill>
                <a:sysClr val="windowText" lastClr="000000"/>
              </a:solidFill>
            </a:defRPr>
          </a:pPr>
          <a:r>
            <a:rPr lang="en-US" sz="5000" b="1" i="0" u="none" strike="noStrike" baseline="0">
              <a:solidFill>
                <a:sysClr val="windowText" lastClr="000000"/>
              </a:solidFill>
              <a:latin typeface="Calibri" panose="020F0502020204030204"/>
            </a:rPr>
            <a:t>Visual Emisisons Breakdown (Market-Based)</a:t>
          </a:r>
        </a:p>
      </cx:txPr>
    </cx:title>
    <cx:plotArea>
      <cx:plotAreaRegion>
        <cx:series layoutId="sunburst" uniqueId="{2A49DC96-817A-419F-962C-A24BB0C7E36F}">
          <cx:dataLabels>
            <cx:txPr>
              <a:bodyPr spcFirstLastPara="1" vertOverflow="ellipsis" horzOverflow="overflow" wrap="square" lIns="38100" tIns="19050" rIns="38100" bIns="19050" anchor="ctr" anchorCtr="1">
                <a:spAutoFit/>
              </a:bodyPr>
              <a:lstStyle/>
              <a:p>
                <a:pPr algn="ctr" rtl="0">
                  <a:defRPr sz="1200">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series>
      </cx:plotAreaRegion>
    </cx:plotArea>
  </cx:chart>
  <cx:spPr>
    <a:solidFill>
      <a:schemeClr val="bg1"/>
    </a:solidFill>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size">
        <cx:f>_xlchart.v1.9</cx:f>
      </cx:numDim>
    </cx:data>
  </cx:chartData>
  <cx:chart>
    <cx:title pos="t" align="ctr" overlay="0">
      <cx:tx>
        <cx:txData>
          <cx:v>Visual Emissions Treemap (Market-Based)</cx:v>
        </cx:txData>
      </cx:tx>
      <cx:txPr>
        <a:bodyPr spcFirstLastPara="1" vertOverflow="ellipsis" horzOverflow="overflow" wrap="square" lIns="0" tIns="0" rIns="0" bIns="0" anchor="ctr" anchorCtr="1"/>
        <a:lstStyle/>
        <a:p>
          <a:pPr algn="ctr" rtl="0">
            <a:defRPr sz="5000" b="1"/>
          </a:pPr>
          <a:r>
            <a:rPr lang="en-US" sz="5000" b="1" i="0" u="none" strike="noStrike" baseline="0">
              <a:solidFill>
                <a:sysClr val="windowText" lastClr="000000"/>
              </a:solidFill>
              <a:latin typeface="Calibri" panose="020F0502020204030204"/>
            </a:rPr>
            <a:t>Visual Emissions Treemap (Market-Based)</a:t>
          </a:r>
        </a:p>
      </cx:txPr>
    </cx:title>
    <cx:plotArea>
      <cx:plotAreaRegion>
        <cx:series layoutId="treemap" uniqueId="{9C64BA40-D08B-4975-A7EF-F19B22353105}">
          <cx:tx>
            <cx:txData>
              <cx:f>_xlchart.v1.8</cx:f>
              <cx:v>Total CO2e
(tons)  - Market</cx:v>
            </cx:txData>
          </cx:tx>
          <cx:dataLabels>
            <cx:txPr>
              <a:bodyPr spcFirstLastPara="1" vertOverflow="ellipsis" horzOverflow="overflow" wrap="square" lIns="0" tIns="0" rIns="0" bIns="0" anchor="ctr" anchorCtr="1"/>
              <a:lstStyle/>
              <a:p>
                <a:pPr algn="ctr" rtl="0">
                  <a:defRPr sz="1200" b="1">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https://www.sustridge.com/" TargetMode="External"/><Relationship Id="rId7" Type="http://schemas.openxmlformats.org/officeDocument/2006/relationships/image" Target="../media/image5.png"/><Relationship Id="rId2" Type="http://schemas.openxmlformats.org/officeDocument/2006/relationships/image" Target="../media/image1.jpeg"/><Relationship Id="rId1" Type="http://schemas.openxmlformats.org/officeDocument/2006/relationships/hyperlink" Target="https://www.iwcawine.org/" TargetMode="Externa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hyperlink" Target="https://sensiba.com/solutions/sustainability/"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microsoft.com/office/2014/relationships/chartEx" Target="../charts/chartEx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microsoft.com/office/2014/relationships/chartEx" Target="../charts/chartEx3.xml"/><Relationship Id="rId5" Type="http://schemas.openxmlformats.org/officeDocument/2006/relationships/chart" Target="../charts/chart5.xml"/><Relationship Id="rId10" Type="http://schemas.microsoft.com/office/2014/relationships/chartEx" Target="../charts/chartEx2.xml"/><Relationship Id="rId4" Type="http://schemas.openxmlformats.org/officeDocument/2006/relationships/chart" Target="../charts/chart4.xml"/><Relationship Id="rId9"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emf"/><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emf"/><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36275</xdr:rowOff>
    </xdr:from>
    <xdr:to>
      <xdr:col>0</xdr:col>
      <xdr:colOff>1514475</xdr:colOff>
      <xdr:row>3</xdr:row>
      <xdr:rowOff>126526</xdr:rowOff>
    </xdr:to>
    <xdr:pic>
      <xdr:nvPicPr>
        <xdr:cNvPr id="2" name="Picture 1">
          <a:hlinkClick xmlns:r="http://schemas.openxmlformats.org/officeDocument/2006/relationships" r:id="rId1"/>
          <a:extLst>
            <a:ext uri="{FF2B5EF4-FFF2-40B4-BE49-F238E27FC236}">
              <a16:creationId xmlns:a16="http://schemas.microsoft.com/office/drawing/2014/main" id="{CB22D99B-1559-4EAE-BED4-D4966B442D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6275"/>
          <a:ext cx="1466850" cy="661751"/>
        </a:xfrm>
        <a:prstGeom prst="rect">
          <a:avLst/>
        </a:prstGeom>
        <a:ln>
          <a:solidFill>
            <a:sysClr val="windowText" lastClr="000000"/>
          </a:solidFill>
        </a:ln>
      </xdr:spPr>
    </xdr:pic>
    <xdr:clientData/>
  </xdr:twoCellAnchor>
  <xdr:twoCellAnchor editAs="oneCell">
    <xdr:from>
      <xdr:col>0</xdr:col>
      <xdr:colOff>1628775</xdr:colOff>
      <xdr:row>0</xdr:row>
      <xdr:rowOff>38101</xdr:rowOff>
    </xdr:from>
    <xdr:to>
      <xdr:col>0</xdr:col>
      <xdr:colOff>2409825</xdr:colOff>
      <xdr:row>3</xdr:row>
      <xdr:rowOff>161111</xdr:rowOff>
    </xdr:to>
    <xdr:pic>
      <xdr:nvPicPr>
        <xdr:cNvPr id="3" name="Picture 2">
          <a:hlinkClick xmlns:r="http://schemas.openxmlformats.org/officeDocument/2006/relationships" r:id="rId3"/>
          <a:extLst>
            <a:ext uri="{FF2B5EF4-FFF2-40B4-BE49-F238E27FC236}">
              <a16:creationId xmlns:a16="http://schemas.microsoft.com/office/drawing/2014/main" id="{2A4F0984-EB88-40B8-9467-CA134B8679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8775" y="38101"/>
          <a:ext cx="781050" cy="694510"/>
        </a:xfrm>
        <a:prstGeom prst="rect">
          <a:avLst/>
        </a:prstGeom>
      </xdr:spPr>
    </xdr:pic>
    <xdr:clientData/>
  </xdr:twoCellAnchor>
  <xdr:twoCellAnchor editAs="oneCell">
    <xdr:from>
      <xdr:col>0</xdr:col>
      <xdr:colOff>3324225</xdr:colOff>
      <xdr:row>39</xdr:row>
      <xdr:rowOff>75285</xdr:rowOff>
    </xdr:from>
    <xdr:to>
      <xdr:col>0</xdr:col>
      <xdr:colOff>7285960</xdr:colOff>
      <xdr:row>43</xdr:row>
      <xdr:rowOff>162246</xdr:rowOff>
    </xdr:to>
    <xdr:pic>
      <xdr:nvPicPr>
        <xdr:cNvPr id="4" name="Picture 3">
          <a:extLst>
            <a:ext uri="{FF2B5EF4-FFF2-40B4-BE49-F238E27FC236}">
              <a16:creationId xmlns:a16="http://schemas.microsoft.com/office/drawing/2014/main" id="{61E85EBE-BC39-4FB6-A632-B7B67BBD443D}"/>
            </a:ext>
          </a:extLst>
        </xdr:cNvPr>
        <xdr:cNvPicPr>
          <a:picLocks noChangeAspect="1"/>
        </xdr:cNvPicPr>
      </xdr:nvPicPr>
      <xdr:blipFill rotWithShape="1">
        <a:blip xmlns:r="http://schemas.openxmlformats.org/officeDocument/2006/relationships" r:embed="rId5"/>
        <a:srcRect t="29922"/>
        <a:stretch/>
      </xdr:blipFill>
      <xdr:spPr>
        <a:xfrm>
          <a:off x="3324225" y="15962985"/>
          <a:ext cx="3961735" cy="944211"/>
        </a:xfrm>
        <a:prstGeom prst="rect">
          <a:avLst/>
        </a:prstGeom>
      </xdr:spPr>
    </xdr:pic>
    <xdr:clientData/>
  </xdr:twoCellAnchor>
  <xdr:twoCellAnchor editAs="oneCell">
    <xdr:from>
      <xdr:col>0</xdr:col>
      <xdr:colOff>110684</xdr:colOff>
      <xdr:row>39</xdr:row>
      <xdr:rowOff>85724</xdr:rowOff>
    </xdr:from>
    <xdr:to>
      <xdr:col>0</xdr:col>
      <xdr:colOff>3057481</xdr:colOff>
      <xdr:row>43</xdr:row>
      <xdr:rowOff>171448</xdr:rowOff>
    </xdr:to>
    <xdr:pic>
      <xdr:nvPicPr>
        <xdr:cNvPr id="5" name="Picture 4">
          <a:extLst>
            <a:ext uri="{FF2B5EF4-FFF2-40B4-BE49-F238E27FC236}">
              <a16:creationId xmlns:a16="http://schemas.microsoft.com/office/drawing/2014/main" id="{8A341713-2B9C-4EDE-BC5A-3DAFCCC322BA}"/>
            </a:ext>
          </a:extLst>
        </xdr:cNvPr>
        <xdr:cNvPicPr>
          <a:picLocks noChangeAspect="1"/>
        </xdr:cNvPicPr>
      </xdr:nvPicPr>
      <xdr:blipFill>
        <a:blip xmlns:r="http://schemas.openxmlformats.org/officeDocument/2006/relationships" r:embed="rId6"/>
        <a:stretch>
          <a:fillRect/>
        </a:stretch>
      </xdr:blipFill>
      <xdr:spPr>
        <a:xfrm>
          <a:off x="110684" y="15973424"/>
          <a:ext cx="2946797" cy="942974"/>
        </a:xfrm>
        <a:prstGeom prst="rect">
          <a:avLst/>
        </a:prstGeom>
      </xdr:spPr>
    </xdr:pic>
    <xdr:clientData/>
  </xdr:twoCellAnchor>
  <xdr:twoCellAnchor editAs="oneCell">
    <xdr:from>
      <xdr:col>2</xdr:col>
      <xdr:colOff>0</xdr:colOff>
      <xdr:row>32</xdr:row>
      <xdr:rowOff>0</xdr:rowOff>
    </xdr:from>
    <xdr:to>
      <xdr:col>2</xdr:col>
      <xdr:colOff>304800</xdr:colOff>
      <xdr:row>33</xdr:row>
      <xdr:rowOff>114300</xdr:rowOff>
    </xdr:to>
    <xdr:sp macro="" textlink="">
      <xdr:nvSpPr>
        <xdr:cNvPr id="6" name="AutoShape 1" descr="Brand Logo">
          <a:extLst>
            <a:ext uri="{FF2B5EF4-FFF2-40B4-BE49-F238E27FC236}">
              <a16:creationId xmlns:a16="http://schemas.microsoft.com/office/drawing/2014/main" id="{87E388BC-3183-4150-9449-7E46D986EFF6}"/>
            </a:ext>
          </a:extLst>
        </xdr:cNvPr>
        <xdr:cNvSpPr>
          <a:spLocks noChangeAspect="1" noChangeArrowheads="1"/>
        </xdr:cNvSpPr>
      </xdr:nvSpPr>
      <xdr:spPr bwMode="auto">
        <a:xfrm>
          <a:off x="8534400" y="1235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6371076</xdr:colOff>
      <xdr:row>29</xdr:row>
      <xdr:rowOff>339090</xdr:rowOff>
    </xdr:from>
    <xdr:to>
      <xdr:col>0</xdr:col>
      <xdr:colOff>7041290</xdr:colOff>
      <xdr:row>33</xdr:row>
      <xdr:rowOff>102524</xdr:rowOff>
    </xdr:to>
    <xdr:pic>
      <xdr:nvPicPr>
        <xdr:cNvPr id="7" name="Picture 6">
          <a:extLst>
            <a:ext uri="{FF2B5EF4-FFF2-40B4-BE49-F238E27FC236}">
              <a16:creationId xmlns:a16="http://schemas.microsoft.com/office/drawing/2014/main" id="{B42A09B4-25DD-4BFC-B241-C11BA23B2E7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1076" y="11931015"/>
          <a:ext cx="670214" cy="715934"/>
        </a:xfrm>
        <a:prstGeom prst="rect">
          <a:avLst/>
        </a:prstGeom>
      </xdr:spPr>
    </xdr:pic>
    <xdr:clientData/>
  </xdr:twoCellAnchor>
  <xdr:twoCellAnchor editAs="oneCell">
    <xdr:from>
      <xdr:col>0</xdr:col>
      <xdr:colOff>6372225</xdr:colOff>
      <xdr:row>20</xdr:row>
      <xdr:rowOff>245825</xdr:rowOff>
    </xdr:from>
    <xdr:to>
      <xdr:col>0</xdr:col>
      <xdr:colOff>7839075</xdr:colOff>
      <xdr:row>23</xdr:row>
      <xdr:rowOff>142401</xdr:rowOff>
    </xdr:to>
    <xdr:pic>
      <xdr:nvPicPr>
        <xdr:cNvPr id="8" name="Picture 7">
          <a:hlinkClick xmlns:r="http://schemas.openxmlformats.org/officeDocument/2006/relationships" r:id="rId1"/>
          <a:extLst>
            <a:ext uri="{FF2B5EF4-FFF2-40B4-BE49-F238E27FC236}">
              <a16:creationId xmlns:a16="http://schemas.microsoft.com/office/drawing/2014/main" id="{1F9963C2-6D6D-4289-A01F-019DEA56F3A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2225" y="9065975"/>
          <a:ext cx="1466850" cy="658576"/>
        </a:xfrm>
        <a:prstGeom prst="rect">
          <a:avLst/>
        </a:prstGeom>
        <a:ln>
          <a:solidFill>
            <a:sysClr val="windowText" lastClr="000000"/>
          </a:solidFill>
        </a:ln>
      </xdr:spPr>
    </xdr:pic>
    <xdr:clientData/>
  </xdr:twoCellAnchor>
  <xdr:twoCellAnchor editAs="oneCell">
    <xdr:from>
      <xdr:col>0</xdr:col>
      <xdr:colOff>6848476</xdr:colOff>
      <xdr:row>9</xdr:row>
      <xdr:rowOff>323851</xdr:rowOff>
    </xdr:from>
    <xdr:to>
      <xdr:col>0</xdr:col>
      <xdr:colOff>7826376</xdr:colOff>
      <xdr:row>12</xdr:row>
      <xdr:rowOff>203174</xdr:rowOff>
    </xdr:to>
    <xdr:pic>
      <xdr:nvPicPr>
        <xdr:cNvPr id="9" name="Picture 8">
          <a:hlinkClick xmlns:r="http://schemas.openxmlformats.org/officeDocument/2006/relationships" r:id="rId3"/>
          <a:extLst>
            <a:ext uri="{FF2B5EF4-FFF2-40B4-BE49-F238E27FC236}">
              <a16:creationId xmlns:a16="http://schemas.microsoft.com/office/drawing/2014/main" id="{5A45535E-8216-4938-85D7-3AE099209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8476" y="4886326"/>
          <a:ext cx="977900" cy="869923"/>
        </a:xfrm>
        <a:prstGeom prst="rect">
          <a:avLst/>
        </a:prstGeom>
      </xdr:spPr>
    </xdr:pic>
    <xdr:clientData/>
  </xdr:twoCellAnchor>
  <xdr:twoCellAnchor editAs="oneCell">
    <xdr:from>
      <xdr:col>0</xdr:col>
      <xdr:colOff>6769546</xdr:colOff>
      <xdr:row>8</xdr:row>
      <xdr:rowOff>371476</xdr:rowOff>
    </xdr:from>
    <xdr:to>
      <xdr:col>1</xdr:col>
      <xdr:colOff>29362</xdr:colOff>
      <xdr:row>9</xdr:row>
      <xdr:rowOff>276226</xdr:rowOff>
    </xdr:to>
    <xdr:pic>
      <xdr:nvPicPr>
        <xdr:cNvPr id="10" name="Picture 9" descr="Accounting &amp; Business Advisory - Sensiba">
          <a:hlinkClick xmlns:r="http://schemas.openxmlformats.org/officeDocument/2006/relationships" r:id="rId9"/>
          <a:extLst>
            <a:ext uri="{FF2B5EF4-FFF2-40B4-BE49-F238E27FC236}">
              <a16:creationId xmlns:a16="http://schemas.microsoft.com/office/drawing/2014/main" id="{47129578-A9FE-402B-A2FA-C51BAE8455C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69546" y="4057651"/>
          <a:ext cx="1184616"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2352675</xdr:colOff>
      <xdr:row>0</xdr:row>
      <xdr:rowOff>38100</xdr:rowOff>
    </xdr:from>
    <xdr:to>
      <xdr:col>0</xdr:col>
      <xdr:colOff>3537291</xdr:colOff>
      <xdr:row>4</xdr:row>
      <xdr:rowOff>57150</xdr:rowOff>
    </xdr:to>
    <xdr:pic>
      <xdr:nvPicPr>
        <xdr:cNvPr id="11" name="Picture 10" descr="Accounting &amp; Business Advisory - Sensiba">
          <a:hlinkClick xmlns:r="http://schemas.openxmlformats.org/officeDocument/2006/relationships" r:id="rId9"/>
          <a:extLst>
            <a:ext uri="{FF2B5EF4-FFF2-40B4-BE49-F238E27FC236}">
              <a16:creationId xmlns:a16="http://schemas.microsoft.com/office/drawing/2014/main" id="{70479FA8-1F87-4CE6-9787-8AB583EE69A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52675" y="38100"/>
          <a:ext cx="1184616"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721974</xdr:colOff>
      <xdr:row>2</xdr:row>
      <xdr:rowOff>94311</xdr:rowOff>
    </xdr:from>
    <xdr:to>
      <xdr:col>1</xdr:col>
      <xdr:colOff>1564413</xdr:colOff>
      <xdr:row>3</xdr:row>
      <xdr:rowOff>85218</xdr:rowOff>
    </xdr:to>
    <xdr:pic>
      <xdr:nvPicPr>
        <xdr:cNvPr id="2" name="1 Imagen">
          <a:extLst>
            <a:ext uri="{FF2B5EF4-FFF2-40B4-BE49-F238E27FC236}">
              <a16:creationId xmlns:a16="http://schemas.microsoft.com/office/drawing/2014/main" id="{0F0D8B2D-80E6-461C-90FD-F9C2AD1F51A4}"/>
            </a:ext>
          </a:extLst>
        </xdr:cNvPr>
        <xdr:cNvPicPr/>
      </xdr:nvPicPr>
      <xdr:blipFill rotWithShape="1">
        <a:blip xmlns:r="http://schemas.openxmlformats.org/officeDocument/2006/relationships" r:embed="rId1"/>
        <a:srcRect t="3138" b="-1"/>
        <a:stretch/>
      </xdr:blipFill>
      <xdr:spPr>
        <a:xfrm>
          <a:off x="721974" y="456261"/>
          <a:ext cx="1613964" cy="684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160111</xdr:colOff>
      <xdr:row>170</xdr:row>
      <xdr:rowOff>172810</xdr:rowOff>
    </xdr:from>
    <xdr:to>
      <xdr:col>4</xdr:col>
      <xdr:colOff>1660071</xdr:colOff>
      <xdr:row>188</xdr:row>
      <xdr:rowOff>27214</xdr:rowOff>
    </xdr:to>
    <xdr:graphicFrame macro="">
      <xdr:nvGraphicFramePr>
        <xdr:cNvPr id="38" name="Chart 37">
          <a:extLst>
            <a:ext uri="{FF2B5EF4-FFF2-40B4-BE49-F238E27FC236}">
              <a16:creationId xmlns:a16="http://schemas.microsoft.com/office/drawing/2014/main" id="{3277690E-6875-45C4-BF61-F77330A2C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145598</xdr:colOff>
      <xdr:row>206</xdr:row>
      <xdr:rowOff>95250</xdr:rowOff>
    </xdr:from>
    <xdr:to>
      <xdr:col>4</xdr:col>
      <xdr:colOff>1714500</xdr:colOff>
      <xdr:row>223</xdr:row>
      <xdr:rowOff>123372</xdr:rowOff>
    </xdr:to>
    <xdr:graphicFrame macro="">
      <xdr:nvGraphicFramePr>
        <xdr:cNvPr id="39" name="Chart 38">
          <a:extLst>
            <a:ext uri="{FF2B5EF4-FFF2-40B4-BE49-F238E27FC236}">
              <a16:creationId xmlns:a16="http://schemas.microsoft.com/office/drawing/2014/main" id="{64AE89BD-76B8-4BFB-BE47-A7EFD134C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149679</xdr:colOff>
      <xdr:row>188</xdr:row>
      <xdr:rowOff>160111</xdr:rowOff>
    </xdr:from>
    <xdr:to>
      <xdr:col>4</xdr:col>
      <xdr:colOff>1673678</xdr:colOff>
      <xdr:row>205</xdr:row>
      <xdr:rowOff>162150</xdr:rowOff>
    </xdr:to>
    <xdr:graphicFrame macro="">
      <xdr:nvGraphicFramePr>
        <xdr:cNvPr id="40" name="Chart 5">
          <a:extLst>
            <a:ext uri="{FF2B5EF4-FFF2-40B4-BE49-F238E27FC236}">
              <a16:creationId xmlns:a16="http://schemas.microsoft.com/office/drawing/2014/main" id="{64CDD123-1053-46CD-9D0F-44093C166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125639</xdr:colOff>
      <xdr:row>224</xdr:row>
      <xdr:rowOff>40820</xdr:rowOff>
    </xdr:from>
    <xdr:to>
      <xdr:col>4</xdr:col>
      <xdr:colOff>1721757</xdr:colOff>
      <xdr:row>241</xdr:row>
      <xdr:rowOff>163284</xdr:rowOff>
    </xdr:to>
    <xdr:graphicFrame macro="">
      <xdr:nvGraphicFramePr>
        <xdr:cNvPr id="41" name="Chart 5">
          <a:extLst>
            <a:ext uri="{FF2B5EF4-FFF2-40B4-BE49-F238E27FC236}">
              <a16:creationId xmlns:a16="http://schemas.microsoft.com/office/drawing/2014/main" id="{07030F00-D2CE-4E2A-9B38-A64A05399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2466521</xdr:colOff>
      <xdr:row>171</xdr:row>
      <xdr:rowOff>11339</xdr:rowOff>
    </xdr:from>
    <xdr:to>
      <xdr:col>8</xdr:col>
      <xdr:colOff>2550583</xdr:colOff>
      <xdr:row>188</xdr:row>
      <xdr:rowOff>16330</xdr:rowOff>
    </xdr:to>
    <xdr:graphicFrame macro="">
      <xdr:nvGraphicFramePr>
        <xdr:cNvPr id="42" name="Chart 41">
          <a:extLst>
            <a:ext uri="{FF2B5EF4-FFF2-40B4-BE49-F238E27FC236}">
              <a16:creationId xmlns:a16="http://schemas.microsoft.com/office/drawing/2014/main" id="{BEB8D56D-8D04-40C0-99EB-E63EF161B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2445658</xdr:colOff>
      <xdr:row>206</xdr:row>
      <xdr:rowOff>93891</xdr:rowOff>
    </xdr:from>
    <xdr:to>
      <xdr:col>8</xdr:col>
      <xdr:colOff>2550583</xdr:colOff>
      <xdr:row>223</xdr:row>
      <xdr:rowOff>130630</xdr:rowOff>
    </xdr:to>
    <xdr:graphicFrame macro="">
      <xdr:nvGraphicFramePr>
        <xdr:cNvPr id="43" name="Chart 42">
          <a:extLst>
            <a:ext uri="{FF2B5EF4-FFF2-40B4-BE49-F238E27FC236}">
              <a16:creationId xmlns:a16="http://schemas.microsoft.com/office/drawing/2014/main" id="{013A423C-7993-4E98-B2D0-97251DF8E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2448830</xdr:colOff>
      <xdr:row>188</xdr:row>
      <xdr:rowOff>161471</xdr:rowOff>
    </xdr:from>
    <xdr:to>
      <xdr:col>8</xdr:col>
      <xdr:colOff>2550582</xdr:colOff>
      <xdr:row>205</xdr:row>
      <xdr:rowOff>162603</xdr:rowOff>
    </xdr:to>
    <xdr:graphicFrame macro="">
      <xdr:nvGraphicFramePr>
        <xdr:cNvPr id="44" name="Chart 5">
          <a:extLst>
            <a:ext uri="{FF2B5EF4-FFF2-40B4-BE49-F238E27FC236}">
              <a16:creationId xmlns:a16="http://schemas.microsoft.com/office/drawing/2014/main" id="{B225501D-A2E8-47F5-BE02-E7E4666EF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2422070</xdr:colOff>
      <xdr:row>224</xdr:row>
      <xdr:rowOff>45809</xdr:rowOff>
    </xdr:from>
    <xdr:to>
      <xdr:col>8</xdr:col>
      <xdr:colOff>2561167</xdr:colOff>
      <xdr:row>241</xdr:row>
      <xdr:rowOff>161016</xdr:rowOff>
    </xdr:to>
    <xdr:graphicFrame macro="">
      <xdr:nvGraphicFramePr>
        <xdr:cNvPr id="45" name="Chart 5">
          <a:extLst>
            <a:ext uri="{FF2B5EF4-FFF2-40B4-BE49-F238E27FC236}">
              <a16:creationId xmlns:a16="http://schemas.microsoft.com/office/drawing/2014/main" id="{E22B1847-6728-4DCE-B69E-6DC8BC4C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105833</xdr:colOff>
      <xdr:row>0</xdr:row>
      <xdr:rowOff>0</xdr:rowOff>
    </xdr:from>
    <xdr:to>
      <xdr:col>42</xdr:col>
      <xdr:colOff>124883</xdr:colOff>
      <xdr:row>87</xdr:row>
      <xdr:rowOff>3703</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D87CAC43-DBBF-4F33-BEEE-A6B42FD692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29430133" y="0"/>
              <a:ext cx="16735425" cy="18256778"/>
            </a:xfrm>
            <a:prstGeom prst="rect">
              <a:avLst/>
            </a:prstGeom>
            <a:solidFill>
              <a:prstClr val="white"/>
            </a:solidFill>
            <a:ln w="1">
              <a:solidFill>
                <a:prstClr val="green"/>
              </a:solidFill>
            </a:ln>
          </xdr:spPr>
          <xdr:txBody>
            <a:bodyPr vertOverflow="clip" horzOverflow="clip"/>
            <a:lstStyle/>
            <a:p>
              <a:r>
                <a:rPr lang="de-DE"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43</xdr:col>
      <xdr:colOff>587375</xdr:colOff>
      <xdr:row>0</xdr:row>
      <xdr:rowOff>236536</xdr:rowOff>
    </xdr:from>
    <xdr:to>
      <xdr:col>92</xdr:col>
      <xdr:colOff>205316</xdr:colOff>
      <xdr:row>94</xdr:row>
      <xdr:rowOff>107419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F078576-1FD2-4B55-9352-99185A4E1FB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47250350" y="239711"/>
              <a:ext cx="29951891" cy="19762258"/>
            </a:xfrm>
            <a:prstGeom prst="rect">
              <a:avLst/>
            </a:prstGeom>
            <a:solidFill>
              <a:prstClr val="white"/>
            </a:solidFill>
            <a:ln w="1">
              <a:solidFill>
                <a:prstClr val="green"/>
              </a:solidFill>
            </a:ln>
          </xdr:spPr>
          <xdr:txBody>
            <a:bodyPr vertOverflow="clip" horzOverflow="clip"/>
            <a:lstStyle/>
            <a:p>
              <a:r>
                <a:rPr lang="de-DE"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15</xdr:col>
      <xdr:colOff>190500</xdr:colOff>
      <xdr:row>99</xdr:row>
      <xdr:rowOff>190499</xdr:rowOff>
    </xdr:from>
    <xdr:to>
      <xdr:col>42</xdr:col>
      <xdr:colOff>195791</xdr:colOff>
      <xdr:row>182</xdr:row>
      <xdr:rowOff>188910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B640168E-B35A-4446-BB62-AE7567E021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29517975" y="21107399"/>
              <a:ext cx="16724841" cy="18695986"/>
            </a:xfrm>
            <a:prstGeom prst="rect">
              <a:avLst/>
            </a:prstGeom>
            <a:solidFill>
              <a:prstClr val="white"/>
            </a:solidFill>
            <a:ln w="1">
              <a:solidFill>
                <a:prstClr val="green"/>
              </a:solidFill>
            </a:ln>
          </xdr:spPr>
          <xdr:txBody>
            <a:bodyPr vertOverflow="clip" horzOverflow="clip"/>
            <a:lstStyle/>
            <a:p>
              <a:r>
                <a:rPr lang="de-DE"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43</xdr:col>
      <xdr:colOff>588962</xdr:colOff>
      <xdr:row>99</xdr:row>
      <xdr:rowOff>95247</xdr:rowOff>
    </xdr:from>
    <xdr:to>
      <xdr:col>92</xdr:col>
      <xdr:colOff>181503</xdr:colOff>
      <xdr:row>189</xdr:row>
      <xdr:rowOff>190497</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6F146745-7B71-4BAA-869A-AAFD3D39138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47251937" y="21012147"/>
              <a:ext cx="29926491" cy="20059650"/>
            </a:xfrm>
            <a:prstGeom prst="rect">
              <a:avLst/>
            </a:prstGeom>
            <a:solidFill>
              <a:prstClr val="white"/>
            </a:solidFill>
            <a:ln w="1">
              <a:solidFill>
                <a:prstClr val="green"/>
              </a:solidFill>
            </a:ln>
          </xdr:spPr>
          <xdr:txBody>
            <a:bodyPr vertOverflow="clip" horzOverflow="clip"/>
            <a:lstStyle/>
            <a:p>
              <a:r>
                <a:rPr lang="de-DE"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3</xdr:col>
      <xdr:colOff>6618253</xdr:colOff>
      <xdr:row>0</xdr:row>
      <xdr:rowOff>105078</xdr:rowOff>
    </xdr:from>
    <xdr:ext cx="1638865" cy="717550"/>
    <xdr:pic>
      <xdr:nvPicPr>
        <xdr:cNvPr id="2" name="1 Imagen">
          <a:extLst>
            <a:ext uri="{FF2B5EF4-FFF2-40B4-BE49-F238E27FC236}">
              <a16:creationId xmlns:a16="http://schemas.microsoft.com/office/drawing/2014/main" id="{EE0B09CB-33B5-4338-8C11-7A66CC88648D}"/>
            </a:ext>
          </a:extLst>
        </xdr:cNvPr>
        <xdr:cNvPicPr/>
      </xdr:nvPicPr>
      <xdr:blipFill rotWithShape="1">
        <a:blip xmlns:r="http://schemas.openxmlformats.org/officeDocument/2006/relationships" r:embed="rId1"/>
        <a:srcRect t="3138" b="-1"/>
        <a:stretch/>
      </xdr:blipFill>
      <xdr:spPr>
        <a:xfrm>
          <a:off x="10624196" y="105078"/>
          <a:ext cx="1638865" cy="7175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750852</xdr:colOff>
      <xdr:row>0</xdr:row>
      <xdr:rowOff>141816</xdr:rowOff>
    </xdr:from>
    <xdr:to>
      <xdr:col>7</xdr:col>
      <xdr:colOff>26494</xdr:colOff>
      <xdr:row>1</xdr:row>
      <xdr:rowOff>96277</xdr:rowOff>
    </xdr:to>
    <xdr:pic>
      <xdr:nvPicPr>
        <xdr:cNvPr id="2" name="1 Imagen">
          <a:extLst>
            <a:ext uri="{FF2B5EF4-FFF2-40B4-BE49-F238E27FC236}">
              <a16:creationId xmlns:a16="http://schemas.microsoft.com/office/drawing/2014/main" id="{F7A9105E-B0A1-43BE-A941-C92981CE4FF9}"/>
            </a:ext>
          </a:extLst>
        </xdr:cNvPr>
        <xdr:cNvPicPr/>
      </xdr:nvPicPr>
      <xdr:blipFill rotWithShape="1">
        <a:blip xmlns:r="http://schemas.openxmlformats.org/officeDocument/2006/relationships" r:embed="rId1"/>
        <a:srcRect t="3138" b="-1"/>
        <a:stretch/>
      </xdr:blipFill>
      <xdr:spPr>
        <a:xfrm>
          <a:off x="10390152" y="141816"/>
          <a:ext cx="1656827" cy="713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35719</xdr:colOff>
      <xdr:row>773</xdr:row>
      <xdr:rowOff>166688</xdr:rowOff>
    </xdr:from>
    <xdr:to>
      <xdr:col>3</xdr:col>
      <xdr:colOff>1397686</xdr:colOff>
      <xdr:row>784</xdr:row>
      <xdr:rowOff>9036</xdr:rowOff>
    </xdr:to>
    <xdr:pic>
      <xdr:nvPicPr>
        <xdr:cNvPr id="2" name="Picture 1">
          <a:extLst>
            <a:ext uri="{FF2B5EF4-FFF2-40B4-BE49-F238E27FC236}">
              <a16:creationId xmlns:a16="http://schemas.microsoft.com/office/drawing/2014/main" id="{2FC9BEA3-E181-4D07-85D0-CC5890FB7E23}"/>
            </a:ext>
          </a:extLst>
        </xdr:cNvPr>
        <xdr:cNvPicPr>
          <a:picLocks noChangeAspect="1"/>
        </xdr:cNvPicPr>
      </xdr:nvPicPr>
      <xdr:blipFill>
        <a:blip xmlns:r="http://schemas.openxmlformats.org/officeDocument/2006/relationships" r:embed="rId1"/>
        <a:stretch>
          <a:fillRect/>
        </a:stretch>
      </xdr:blipFill>
      <xdr:spPr>
        <a:xfrm>
          <a:off x="2778919" y="26655713"/>
          <a:ext cx="3673367" cy="15913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12</xdr:col>
      <xdr:colOff>67688</xdr:colOff>
      <xdr:row>39</xdr:row>
      <xdr:rowOff>67704</xdr:rowOff>
    </xdr:to>
    <xdr:pic>
      <xdr:nvPicPr>
        <xdr:cNvPr id="3" name="Picture 2">
          <a:extLst>
            <a:ext uri="{FF2B5EF4-FFF2-40B4-BE49-F238E27FC236}">
              <a16:creationId xmlns:a16="http://schemas.microsoft.com/office/drawing/2014/main" id="{87C74B36-4648-4240-921B-1D97687105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23825"/>
          <a:ext cx="7259063" cy="7373379"/>
        </a:xfrm>
        <a:prstGeom prst="rect">
          <a:avLst/>
        </a:prstGeom>
        <a:ln>
          <a:solidFill>
            <a:sysClr val="windowText" lastClr="000000"/>
          </a:solidFill>
        </a:ln>
      </xdr:spPr>
    </xdr:pic>
    <xdr:clientData/>
  </xdr:twoCellAnchor>
  <xdr:twoCellAnchor editAs="oneCell">
    <xdr:from>
      <xdr:col>12</xdr:col>
      <xdr:colOff>247650</xdr:colOff>
      <xdr:row>0</xdr:row>
      <xdr:rowOff>114300</xdr:rowOff>
    </xdr:from>
    <xdr:to>
      <xdr:col>24</xdr:col>
      <xdr:colOff>324882</xdr:colOff>
      <xdr:row>36</xdr:row>
      <xdr:rowOff>115257</xdr:rowOff>
    </xdr:to>
    <xdr:pic>
      <xdr:nvPicPr>
        <xdr:cNvPr id="5" name="Picture 4">
          <a:extLst>
            <a:ext uri="{FF2B5EF4-FFF2-40B4-BE49-F238E27FC236}">
              <a16:creationId xmlns:a16="http://schemas.microsoft.com/office/drawing/2014/main" id="{CDEB9FD4-2FEC-40B7-BA8C-722514EB9E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62850" y="114300"/>
          <a:ext cx="7392432" cy="6858957"/>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21168</xdr:colOff>
      <xdr:row>540</xdr:row>
      <xdr:rowOff>137583</xdr:rowOff>
    </xdr:from>
    <xdr:to>
      <xdr:col>1</xdr:col>
      <xdr:colOff>1715045</xdr:colOff>
      <xdr:row>567</xdr:row>
      <xdr:rowOff>1895</xdr:rowOff>
    </xdr:to>
    <xdr:pic>
      <xdr:nvPicPr>
        <xdr:cNvPr id="7" name="Picture 6">
          <a:extLst>
            <a:ext uri="{FF2B5EF4-FFF2-40B4-BE49-F238E27FC236}">
              <a16:creationId xmlns:a16="http://schemas.microsoft.com/office/drawing/2014/main" id="{917424CC-568A-4772-9CEB-DFE8333EFBB5}"/>
            </a:ext>
          </a:extLst>
        </xdr:cNvPr>
        <xdr:cNvPicPr>
          <a:picLocks noChangeAspect="1"/>
        </xdr:cNvPicPr>
      </xdr:nvPicPr>
      <xdr:blipFill>
        <a:blip xmlns:r="http://schemas.openxmlformats.org/officeDocument/2006/relationships" r:embed="rId1"/>
        <a:stretch>
          <a:fillRect/>
        </a:stretch>
      </xdr:blipFill>
      <xdr:spPr>
        <a:xfrm>
          <a:off x="21168" y="42301583"/>
          <a:ext cx="4032250" cy="4989555"/>
        </a:xfrm>
        <a:prstGeom prst="rect">
          <a:avLst/>
        </a:prstGeom>
        <a:ln>
          <a:solidFill>
            <a:sysClr val="windowText" lastClr="000000"/>
          </a:solidFill>
        </a:ln>
      </xdr:spPr>
    </xdr:pic>
    <xdr:clientData/>
  </xdr:twoCellAnchor>
  <xdr:twoCellAnchor editAs="oneCell">
    <xdr:from>
      <xdr:col>5</xdr:col>
      <xdr:colOff>65085</xdr:colOff>
      <xdr:row>541</xdr:row>
      <xdr:rowOff>31485</xdr:rowOff>
    </xdr:from>
    <xdr:to>
      <xdr:col>9</xdr:col>
      <xdr:colOff>489870</xdr:colOff>
      <xdr:row>553</xdr:row>
      <xdr:rowOff>151819</xdr:rowOff>
    </xdr:to>
    <xdr:pic>
      <xdr:nvPicPr>
        <xdr:cNvPr id="8" name="Picture 7">
          <a:extLst>
            <a:ext uri="{FF2B5EF4-FFF2-40B4-BE49-F238E27FC236}">
              <a16:creationId xmlns:a16="http://schemas.microsoft.com/office/drawing/2014/main" id="{7DAAF335-B0FA-4B56-BB41-4800DEC5BAD9}"/>
            </a:ext>
          </a:extLst>
        </xdr:cNvPr>
        <xdr:cNvPicPr>
          <a:picLocks noChangeAspect="1"/>
        </xdr:cNvPicPr>
      </xdr:nvPicPr>
      <xdr:blipFill>
        <a:blip xmlns:r="http://schemas.openxmlformats.org/officeDocument/2006/relationships" r:embed="rId2"/>
        <a:stretch>
          <a:fillRect/>
        </a:stretch>
      </xdr:blipFill>
      <xdr:spPr>
        <a:xfrm>
          <a:off x="8552918" y="42385985"/>
          <a:ext cx="4303713" cy="2406334"/>
        </a:xfrm>
        <a:prstGeom prst="rect">
          <a:avLst/>
        </a:prstGeom>
      </xdr:spPr>
    </xdr:pic>
    <xdr:clientData/>
  </xdr:twoCellAnchor>
  <xdr:twoCellAnchor editAs="oneCell">
    <xdr:from>
      <xdr:col>2</xdr:col>
      <xdr:colOff>243416</xdr:colOff>
      <xdr:row>541</xdr:row>
      <xdr:rowOff>21167</xdr:rowOff>
    </xdr:from>
    <xdr:to>
      <xdr:col>4</xdr:col>
      <xdr:colOff>728157</xdr:colOff>
      <xdr:row>555</xdr:row>
      <xdr:rowOff>50375</xdr:rowOff>
    </xdr:to>
    <xdr:pic>
      <xdr:nvPicPr>
        <xdr:cNvPr id="9" name="Picture 8">
          <a:extLst>
            <a:ext uri="{FF2B5EF4-FFF2-40B4-BE49-F238E27FC236}">
              <a16:creationId xmlns:a16="http://schemas.microsoft.com/office/drawing/2014/main" id="{B29720EA-2D5C-4B11-A0DB-504B966065E2}"/>
            </a:ext>
          </a:extLst>
        </xdr:cNvPr>
        <xdr:cNvPicPr>
          <a:picLocks noChangeAspect="1"/>
        </xdr:cNvPicPr>
      </xdr:nvPicPr>
      <xdr:blipFill>
        <a:blip xmlns:r="http://schemas.openxmlformats.org/officeDocument/2006/relationships" r:embed="rId3"/>
        <a:stretch>
          <a:fillRect/>
        </a:stretch>
      </xdr:blipFill>
      <xdr:spPr>
        <a:xfrm>
          <a:off x="4138083" y="42375667"/>
          <a:ext cx="4156340" cy="2692396"/>
        </a:xfrm>
        <a:prstGeom prst="rect">
          <a:avLst/>
        </a:prstGeom>
      </xdr:spPr>
    </xdr:pic>
    <xdr:clientData/>
  </xdr:twoCellAnchor>
  <xdr:twoCellAnchor editAs="oneCell">
    <xdr:from>
      <xdr:col>0</xdr:col>
      <xdr:colOff>0</xdr:colOff>
      <xdr:row>569</xdr:row>
      <xdr:rowOff>0</xdr:rowOff>
    </xdr:from>
    <xdr:to>
      <xdr:col>3</xdr:col>
      <xdr:colOff>1146594</xdr:colOff>
      <xdr:row>577</xdr:row>
      <xdr:rowOff>102075</xdr:rowOff>
    </xdr:to>
    <xdr:pic>
      <xdr:nvPicPr>
        <xdr:cNvPr id="10" name="Picture 9">
          <a:extLst>
            <a:ext uri="{FF2B5EF4-FFF2-40B4-BE49-F238E27FC236}">
              <a16:creationId xmlns:a16="http://schemas.microsoft.com/office/drawing/2014/main" id="{98528311-0EFF-42FB-B307-E369496D8CDD}"/>
            </a:ext>
          </a:extLst>
        </xdr:cNvPr>
        <xdr:cNvPicPr>
          <a:picLocks noChangeAspect="1"/>
        </xdr:cNvPicPr>
      </xdr:nvPicPr>
      <xdr:blipFill>
        <a:blip xmlns:r="http://schemas.openxmlformats.org/officeDocument/2006/relationships" r:embed="rId4"/>
        <a:stretch>
          <a:fillRect/>
        </a:stretch>
      </xdr:blipFill>
      <xdr:spPr>
        <a:xfrm>
          <a:off x="0" y="47699083"/>
          <a:ext cx="8237790" cy="1631156"/>
        </a:xfrm>
        <a:prstGeom prst="rect">
          <a:avLst/>
        </a:prstGeom>
      </xdr:spPr>
    </xdr:pic>
    <xdr:clientData/>
  </xdr:twoCellAnchor>
  <xdr:oneCellAnchor>
    <xdr:from>
      <xdr:col>2</xdr:col>
      <xdr:colOff>1760803</xdr:colOff>
      <xdr:row>1020</xdr:row>
      <xdr:rowOff>124355</xdr:rowOff>
    </xdr:from>
    <xdr:ext cx="3730938" cy="2997728"/>
    <xdr:pic>
      <xdr:nvPicPr>
        <xdr:cNvPr id="20" name="Picture 19">
          <a:extLst>
            <a:ext uri="{FF2B5EF4-FFF2-40B4-BE49-F238E27FC236}">
              <a16:creationId xmlns:a16="http://schemas.microsoft.com/office/drawing/2014/main" id="{4A37EAD7-AF00-4ED6-B872-CFA6C0E242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92636" y="205758522"/>
          <a:ext cx="3730938" cy="2997728"/>
        </a:xfrm>
        <a:prstGeom prst="rect">
          <a:avLst/>
        </a:prstGeom>
        <a:ln>
          <a:solidFill>
            <a:sysClr val="windowText" lastClr="000000"/>
          </a:solidFill>
        </a:ln>
      </xdr:spPr>
    </xdr:pic>
    <xdr:clientData/>
  </xdr:oneCellAnchor>
  <xdr:oneCellAnchor>
    <xdr:from>
      <xdr:col>0</xdr:col>
      <xdr:colOff>211666</xdr:colOff>
      <xdr:row>1025</xdr:row>
      <xdr:rowOff>19843</xdr:rowOff>
    </xdr:from>
    <xdr:ext cx="4512468" cy="1683285"/>
    <xdr:pic>
      <xdr:nvPicPr>
        <xdr:cNvPr id="21" name="Picture 20">
          <a:extLst>
            <a:ext uri="{FF2B5EF4-FFF2-40B4-BE49-F238E27FC236}">
              <a16:creationId xmlns:a16="http://schemas.microsoft.com/office/drawing/2014/main" id="{DB695965-814D-4D65-89BB-0F5922201D1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1666" y="206606510"/>
          <a:ext cx="4512468" cy="1683285"/>
        </a:xfrm>
        <a:prstGeom prst="rect">
          <a:avLst/>
        </a:prstGeom>
        <a:ln>
          <a:solidFill>
            <a:sysClr val="windowText" lastClr="000000"/>
          </a:solidFill>
        </a:ln>
      </xdr:spPr>
    </xdr:pic>
    <xdr:clientData/>
  </xdr:oneCellAnchor>
  <xdr:twoCellAnchor editAs="oneCell">
    <xdr:from>
      <xdr:col>0</xdr:col>
      <xdr:colOff>0</xdr:colOff>
      <xdr:row>882</xdr:row>
      <xdr:rowOff>0</xdr:rowOff>
    </xdr:from>
    <xdr:to>
      <xdr:col>2</xdr:col>
      <xdr:colOff>329207</xdr:colOff>
      <xdr:row>914</xdr:row>
      <xdr:rowOff>73886</xdr:rowOff>
    </xdr:to>
    <xdr:pic>
      <xdr:nvPicPr>
        <xdr:cNvPr id="17" name="Picture 16">
          <a:extLst>
            <a:ext uri="{FF2B5EF4-FFF2-40B4-BE49-F238E27FC236}">
              <a16:creationId xmlns:a16="http://schemas.microsoft.com/office/drawing/2014/main" id="{B4101602-CDDB-4952-AF35-F030A76DB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0023156"/>
          <a:ext cx="5236306" cy="6173061"/>
        </a:xfrm>
        <a:prstGeom prst="rect">
          <a:avLst/>
        </a:prstGeom>
      </xdr:spPr>
    </xdr:pic>
    <xdr:clientData/>
  </xdr:twoCellAnchor>
  <xdr:twoCellAnchor editAs="oneCell">
    <xdr:from>
      <xdr:col>0</xdr:col>
      <xdr:colOff>0</xdr:colOff>
      <xdr:row>914</xdr:row>
      <xdr:rowOff>95251</xdr:rowOff>
    </xdr:from>
    <xdr:to>
      <xdr:col>2</xdr:col>
      <xdr:colOff>262206</xdr:colOff>
      <xdr:row>938</xdr:row>
      <xdr:rowOff>58420</xdr:rowOff>
    </xdr:to>
    <xdr:pic>
      <xdr:nvPicPr>
        <xdr:cNvPr id="18" name="Picture 17">
          <a:extLst>
            <a:ext uri="{FF2B5EF4-FFF2-40B4-BE49-F238E27FC236}">
              <a16:creationId xmlns:a16="http://schemas.microsoft.com/office/drawing/2014/main" id="{9775507C-6D79-4CE8-AE22-A866B7DB361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96214407"/>
          <a:ext cx="5179148" cy="4534533"/>
        </a:xfrm>
        <a:prstGeom prst="rect">
          <a:avLst/>
        </a:prstGeom>
      </xdr:spPr>
    </xdr:pic>
    <xdr:clientData/>
  </xdr:twoCellAnchor>
  <xdr:twoCellAnchor editAs="oneCell">
    <xdr:from>
      <xdr:col>0</xdr:col>
      <xdr:colOff>8659</xdr:colOff>
      <xdr:row>506</xdr:row>
      <xdr:rowOff>43295</xdr:rowOff>
    </xdr:from>
    <xdr:to>
      <xdr:col>3</xdr:col>
      <xdr:colOff>1044324</xdr:colOff>
      <xdr:row>529</xdr:row>
      <xdr:rowOff>168570</xdr:rowOff>
    </xdr:to>
    <xdr:pic>
      <xdr:nvPicPr>
        <xdr:cNvPr id="22" name="Picture 21">
          <a:extLst>
            <a:ext uri="{FF2B5EF4-FFF2-40B4-BE49-F238E27FC236}">
              <a16:creationId xmlns:a16="http://schemas.microsoft.com/office/drawing/2014/main" id="{4A844B98-0D8D-4C1C-8530-236092ECDB55}"/>
            </a:ext>
          </a:extLst>
        </xdr:cNvPr>
        <xdr:cNvPicPr>
          <a:picLocks noChangeAspect="1"/>
        </xdr:cNvPicPr>
      </xdr:nvPicPr>
      <xdr:blipFill>
        <a:blip xmlns:r="http://schemas.openxmlformats.org/officeDocument/2006/relationships" r:embed="rId9"/>
        <a:stretch>
          <a:fillRect/>
        </a:stretch>
      </xdr:blipFill>
      <xdr:spPr>
        <a:xfrm>
          <a:off x="8659" y="204501750"/>
          <a:ext cx="8458139" cy="4303806"/>
        </a:xfrm>
        <a:prstGeom prst="rect">
          <a:avLst/>
        </a:prstGeom>
      </xdr:spPr>
    </xdr:pic>
    <xdr:clientData/>
  </xdr:twoCellAnchor>
  <xdr:twoCellAnchor editAs="oneCell">
    <xdr:from>
      <xdr:col>4</xdr:col>
      <xdr:colOff>1750146</xdr:colOff>
      <xdr:row>506</xdr:row>
      <xdr:rowOff>42212</xdr:rowOff>
    </xdr:from>
    <xdr:to>
      <xdr:col>13</xdr:col>
      <xdr:colOff>417090</xdr:colOff>
      <xdr:row>528</xdr:row>
      <xdr:rowOff>7779</xdr:rowOff>
    </xdr:to>
    <xdr:pic>
      <xdr:nvPicPr>
        <xdr:cNvPr id="23" name="Picture 22">
          <a:extLst>
            <a:ext uri="{FF2B5EF4-FFF2-40B4-BE49-F238E27FC236}">
              <a16:creationId xmlns:a16="http://schemas.microsoft.com/office/drawing/2014/main" id="{797347D1-76AB-40B7-AB47-2C3EAC1CD7EA}"/>
            </a:ext>
          </a:extLst>
        </xdr:cNvPr>
        <xdr:cNvPicPr>
          <a:picLocks noChangeAspect="1"/>
        </xdr:cNvPicPr>
      </xdr:nvPicPr>
      <xdr:blipFill>
        <a:blip xmlns:r="http://schemas.openxmlformats.org/officeDocument/2006/relationships" r:embed="rId10"/>
        <a:stretch>
          <a:fillRect/>
        </a:stretch>
      </xdr:blipFill>
      <xdr:spPr>
        <a:xfrm>
          <a:off x="8789987" y="204500667"/>
          <a:ext cx="8288745" cy="3967338"/>
        </a:xfrm>
        <a:prstGeom prst="rect">
          <a:avLst/>
        </a:prstGeom>
      </xdr:spPr>
    </xdr:pic>
    <xdr:clientData/>
  </xdr:twoCellAnchor>
  <xdr:twoCellAnchor editAs="oneCell">
    <xdr:from>
      <xdr:col>0</xdr:col>
      <xdr:colOff>57149</xdr:colOff>
      <xdr:row>956</xdr:row>
      <xdr:rowOff>28575</xdr:rowOff>
    </xdr:from>
    <xdr:to>
      <xdr:col>2</xdr:col>
      <xdr:colOff>1408144</xdr:colOff>
      <xdr:row>970</xdr:row>
      <xdr:rowOff>50166</xdr:rowOff>
    </xdr:to>
    <xdr:pic>
      <xdr:nvPicPr>
        <xdr:cNvPr id="24" name="Picture 23">
          <a:extLst>
            <a:ext uri="{FF2B5EF4-FFF2-40B4-BE49-F238E27FC236}">
              <a16:creationId xmlns:a16="http://schemas.microsoft.com/office/drawing/2014/main" id="{00081ECE-8A0F-4CC4-AB63-A064F26074A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49" y="180365400"/>
          <a:ext cx="6275420" cy="2688591"/>
        </a:xfrm>
        <a:prstGeom prst="rect">
          <a:avLst/>
        </a:prstGeom>
      </xdr:spPr>
    </xdr:pic>
    <xdr:clientData/>
  </xdr:twoCellAnchor>
  <xdr:twoCellAnchor editAs="oneCell">
    <xdr:from>
      <xdr:col>2</xdr:col>
      <xdr:colOff>1695450</xdr:colOff>
      <xdr:row>956</xdr:row>
      <xdr:rowOff>8844</xdr:rowOff>
    </xdr:from>
    <xdr:to>
      <xdr:col>7</xdr:col>
      <xdr:colOff>10545</xdr:colOff>
      <xdr:row>971</xdr:row>
      <xdr:rowOff>170305</xdr:rowOff>
    </xdr:to>
    <xdr:pic>
      <xdr:nvPicPr>
        <xdr:cNvPr id="25" name="Picture 24">
          <a:extLst>
            <a:ext uri="{FF2B5EF4-FFF2-40B4-BE49-F238E27FC236}">
              <a16:creationId xmlns:a16="http://schemas.microsoft.com/office/drawing/2014/main" id="{E09F8B3F-650F-4A9F-B4AD-A64425B3598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19875" y="180345669"/>
          <a:ext cx="6354195" cy="3018961"/>
        </a:xfrm>
        <a:prstGeom prst="rect">
          <a:avLst/>
        </a:prstGeom>
      </xdr:spPr>
    </xdr:pic>
    <xdr:clientData/>
  </xdr:twoCellAnchor>
  <xdr:twoCellAnchor editAs="oneCell">
    <xdr:from>
      <xdr:col>4</xdr:col>
      <xdr:colOff>1500981</xdr:colOff>
      <xdr:row>2</xdr:row>
      <xdr:rowOff>154781</xdr:rowOff>
    </xdr:from>
    <xdr:to>
      <xdr:col>9</xdr:col>
      <xdr:colOff>1261291</xdr:colOff>
      <xdr:row>7</xdr:row>
      <xdr:rowOff>167368</xdr:rowOff>
    </xdr:to>
    <xdr:pic>
      <xdr:nvPicPr>
        <xdr:cNvPr id="6" name="Picture 5">
          <a:extLst>
            <a:ext uri="{FF2B5EF4-FFF2-40B4-BE49-F238E27FC236}">
              <a16:creationId xmlns:a16="http://schemas.microsoft.com/office/drawing/2014/main" id="{178BE5FC-1EFC-4B58-8103-C72A93EA9EC4}"/>
            </a:ext>
          </a:extLst>
        </xdr:cNvPr>
        <xdr:cNvPicPr>
          <a:picLocks noChangeAspect="1"/>
        </xdr:cNvPicPr>
      </xdr:nvPicPr>
      <xdr:blipFill>
        <a:blip xmlns:r="http://schemas.openxmlformats.org/officeDocument/2006/relationships" r:embed="rId13"/>
        <a:stretch>
          <a:fillRect/>
        </a:stretch>
      </xdr:blipFill>
      <xdr:spPr>
        <a:xfrm>
          <a:off x="8206581" y="640556"/>
          <a:ext cx="5313839" cy="1454944"/>
        </a:xfrm>
        <a:prstGeom prst="rect">
          <a:avLst/>
        </a:prstGeom>
      </xdr:spPr>
    </xdr:pic>
    <xdr:clientData/>
  </xdr:twoCellAnchor>
  <xdr:twoCellAnchor editAs="oneCell">
    <xdr:from>
      <xdr:col>12</xdr:col>
      <xdr:colOff>211668</xdr:colOff>
      <xdr:row>878</xdr:row>
      <xdr:rowOff>0</xdr:rowOff>
    </xdr:from>
    <xdr:to>
      <xdr:col>17</xdr:col>
      <xdr:colOff>441325</xdr:colOff>
      <xdr:row>890</xdr:row>
      <xdr:rowOff>140587</xdr:rowOff>
    </xdr:to>
    <xdr:pic>
      <xdr:nvPicPr>
        <xdr:cNvPr id="3" name="Picture 2">
          <a:extLst>
            <a:ext uri="{FF2B5EF4-FFF2-40B4-BE49-F238E27FC236}">
              <a16:creationId xmlns:a16="http://schemas.microsoft.com/office/drawing/2014/main" id="{89BCBF7E-C38C-4D2F-BBD7-2357D009B993}"/>
            </a:ext>
          </a:extLst>
        </xdr:cNvPr>
        <xdr:cNvPicPr>
          <a:picLocks noChangeAspect="1"/>
        </xdr:cNvPicPr>
      </xdr:nvPicPr>
      <xdr:blipFill>
        <a:blip xmlns:r="http://schemas.openxmlformats.org/officeDocument/2006/relationships" r:embed="rId14"/>
        <a:stretch>
          <a:fillRect/>
        </a:stretch>
      </xdr:blipFill>
      <xdr:spPr>
        <a:xfrm>
          <a:off x="17748251" y="164327417"/>
          <a:ext cx="3298824" cy="2541945"/>
        </a:xfrm>
        <a:prstGeom prst="rect">
          <a:avLst/>
        </a:prstGeom>
      </xdr:spPr>
    </xdr:pic>
    <xdr:clientData/>
  </xdr:twoCellAnchor>
  <xdr:twoCellAnchor editAs="oneCell">
    <xdr:from>
      <xdr:col>3</xdr:col>
      <xdr:colOff>721177</xdr:colOff>
      <xdr:row>555</xdr:row>
      <xdr:rowOff>112031</xdr:rowOff>
    </xdr:from>
    <xdr:to>
      <xdr:col>7</xdr:col>
      <xdr:colOff>61534</xdr:colOff>
      <xdr:row>560</xdr:row>
      <xdr:rowOff>176892</xdr:rowOff>
    </xdr:to>
    <xdr:pic>
      <xdr:nvPicPr>
        <xdr:cNvPr id="16" name="Picture 15">
          <a:extLst>
            <a:ext uri="{FF2B5EF4-FFF2-40B4-BE49-F238E27FC236}">
              <a16:creationId xmlns:a16="http://schemas.microsoft.com/office/drawing/2014/main" id="{D89709F2-7B64-4E39-8590-D3E8CED3130C}"/>
            </a:ext>
          </a:extLst>
        </xdr:cNvPr>
        <xdr:cNvPicPr>
          <a:picLocks noChangeAspect="1"/>
        </xdr:cNvPicPr>
      </xdr:nvPicPr>
      <xdr:blipFill>
        <a:blip xmlns:r="http://schemas.openxmlformats.org/officeDocument/2006/relationships" r:embed="rId15"/>
        <a:stretch>
          <a:fillRect/>
        </a:stretch>
      </xdr:blipFill>
      <xdr:spPr>
        <a:xfrm>
          <a:off x="7824106" y="124685424"/>
          <a:ext cx="5198987" cy="1017361"/>
        </a:xfrm>
        <a:prstGeom prst="rect">
          <a:avLst/>
        </a:prstGeom>
      </xdr:spPr>
    </xdr:pic>
    <xdr:clientData/>
  </xdr:twoCellAnchor>
  <xdr:twoCellAnchor>
    <xdr:from>
      <xdr:col>0</xdr:col>
      <xdr:colOff>44450</xdr:colOff>
      <xdr:row>113</xdr:row>
      <xdr:rowOff>44451</xdr:rowOff>
    </xdr:from>
    <xdr:to>
      <xdr:col>3</xdr:col>
      <xdr:colOff>827264</xdr:colOff>
      <xdr:row>132</xdr:row>
      <xdr:rowOff>112135</xdr:rowOff>
    </xdr:to>
    <xdr:grpSp>
      <xdr:nvGrpSpPr>
        <xdr:cNvPr id="26" name="Group 25">
          <a:extLst>
            <a:ext uri="{FF2B5EF4-FFF2-40B4-BE49-F238E27FC236}">
              <a16:creationId xmlns:a16="http://schemas.microsoft.com/office/drawing/2014/main" id="{16614CAB-DACE-4DF5-AE54-6B3E2731ADCF}"/>
            </a:ext>
          </a:extLst>
        </xdr:cNvPr>
        <xdr:cNvGrpSpPr/>
      </xdr:nvGrpSpPr>
      <xdr:grpSpPr>
        <a:xfrm>
          <a:off x="47625" y="28400376"/>
          <a:ext cx="8233481" cy="3482926"/>
          <a:chOff x="0" y="25222201"/>
          <a:chExt cx="4183239" cy="3684009"/>
        </a:xfrm>
      </xdr:grpSpPr>
      <xdr:pic>
        <xdr:nvPicPr>
          <xdr:cNvPr id="27" name="Picture 26">
            <a:extLst>
              <a:ext uri="{FF2B5EF4-FFF2-40B4-BE49-F238E27FC236}">
                <a16:creationId xmlns:a16="http://schemas.microsoft.com/office/drawing/2014/main" id="{4C4064CB-6A83-479F-BD76-00700241F2A2}"/>
              </a:ext>
            </a:extLst>
          </xdr:cNvPr>
          <xdr:cNvPicPr>
            <a:picLocks noChangeAspect="1"/>
          </xdr:cNvPicPr>
        </xdr:nvPicPr>
        <xdr:blipFill>
          <a:blip xmlns:r="http://schemas.openxmlformats.org/officeDocument/2006/relationships" r:embed="rId16"/>
          <a:stretch>
            <a:fillRect/>
          </a:stretch>
        </xdr:blipFill>
        <xdr:spPr>
          <a:xfrm>
            <a:off x="0" y="25222201"/>
            <a:ext cx="4172795" cy="1220256"/>
          </a:xfrm>
          <a:prstGeom prst="rect">
            <a:avLst/>
          </a:prstGeom>
        </xdr:spPr>
      </xdr:pic>
      <xdr:pic>
        <xdr:nvPicPr>
          <xdr:cNvPr id="28" name="Picture 27">
            <a:extLst>
              <a:ext uri="{FF2B5EF4-FFF2-40B4-BE49-F238E27FC236}">
                <a16:creationId xmlns:a16="http://schemas.microsoft.com/office/drawing/2014/main" id="{498902E3-C7AA-4A88-890A-4689295B686F}"/>
              </a:ext>
            </a:extLst>
          </xdr:cNvPr>
          <xdr:cNvPicPr>
            <a:picLocks noChangeAspect="1"/>
          </xdr:cNvPicPr>
        </xdr:nvPicPr>
        <xdr:blipFill>
          <a:blip xmlns:r="http://schemas.openxmlformats.org/officeDocument/2006/relationships" r:embed="rId17"/>
          <a:stretch>
            <a:fillRect/>
          </a:stretch>
        </xdr:blipFill>
        <xdr:spPr>
          <a:xfrm>
            <a:off x="0" y="26419879"/>
            <a:ext cx="4183239" cy="2486331"/>
          </a:xfrm>
          <a:prstGeom prst="rect">
            <a:avLst/>
          </a:prstGeom>
        </xdr:spPr>
      </xdr:pic>
    </xdr:grpSp>
    <xdr:clientData/>
  </xdr:twoCellAnchor>
  <xdr:twoCellAnchor editAs="oneCell">
    <xdr:from>
      <xdr:col>2</xdr:col>
      <xdr:colOff>1028700</xdr:colOff>
      <xdr:row>1126</xdr:row>
      <xdr:rowOff>104775</xdr:rowOff>
    </xdr:from>
    <xdr:to>
      <xdr:col>5</xdr:col>
      <xdr:colOff>1206954</xdr:colOff>
      <xdr:row>1140</xdr:row>
      <xdr:rowOff>133352</xdr:rowOff>
    </xdr:to>
    <xdr:pic>
      <xdr:nvPicPr>
        <xdr:cNvPr id="35" name="Picture 34">
          <a:extLst>
            <a:ext uri="{FF2B5EF4-FFF2-40B4-BE49-F238E27FC236}">
              <a16:creationId xmlns:a16="http://schemas.microsoft.com/office/drawing/2014/main" id="{65D98572-3266-FC96-955F-9B15A5F607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105400" y="209892900"/>
          <a:ext cx="5934075"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1126</xdr:row>
      <xdr:rowOff>114300</xdr:rowOff>
    </xdr:from>
    <xdr:to>
      <xdr:col>2</xdr:col>
      <xdr:colOff>952046</xdr:colOff>
      <xdr:row>1139</xdr:row>
      <xdr:rowOff>158750</xdr:rowOff>
    </xdr:to>
    <xdr:pic>
      <xdr:nvPicPr>
        <xdr:cNvPr id="36" name="Picture 35">
          <a:extLst>
            <a:ext uri="{FF2B5EF4-FFF2-40B4-BE49-F238E27FC236}">
              <a16:creationId xmlns:a16="http://schemas.microsoft.com/office/drawing/2014/main" id="{18F159AF-06DF-771C-5E6E-F3D37600654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0975" y="209902425"/>
          <a:ext cx="59531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276</xdr:row>
      <xdr:rowOff>174625</xdr:rowOff>
    </xdr:from>
    <xdr:to>
      <xdr:col>2</xdr:col>
      <xdr:colOff>1153432</xdr:colOff>
      <xdr:row>312</xdr:row>
      <xdr:rowOff>49483</xdr:rowOff>
    </xdr:to>
    <xdr:pic>
      <xdr:nvPicPr>
        <xdr:cNvPr id="2" name="Picture 1">
          <a:extLst>
            <a:ext uri="{FF2B5EF4-FFF2-40B4-BE49-F238E27FC236}">
              <a16:creationId xmlns:a16="http://schemas.microsoft.com/office/drawing/2014/main" id="{12375FB3-603B-49B4-AA38-B6205EEBB22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2875" y="141811375"/>
          <a:ext cx="5934982" cy="6743442"/>
        </a:xfrm>
        <a:prstGeom prst="rect">
          <a:avLst/>
        </a:prstGeom>
      </xdr:spPr>
    </xdr:pic>
    <xdr:clientData/>
  </xdr:twoCellAnchor>
  <xdr:twoCellAnchor editAs="oneCell">
    <xdr:from>
      <xdr:col>3</xdr:col>
      <xdr:colOff>762000</xdr:colOff>
      <xdr:row>276</xdr:row>
      <xdr:rowOff>174625</xdr:rowOff>
    </xdr:from>
    <xdr:to>
      <xdr:col>9</xdr:col>
      <xdr:colOff>936625</xdr:colOff>
      <xdr:row>309</xdr:row>
      <xdr:rowOff>46040</xdr:rowOff>
    </xdr:to>
    <xdr:pic>
      <xdr:nvPicPr>
        <xdr:cNvPr id="4" name="Picture 3">
          <a:extLst>
            <a:ext uri="{FF2B5EF4-FFF2-40B4-BE49-F238E27FC236}">
              <a16:creationId xmlns:a16="http://schemas.microsoft.com/office/drawing/2014/main" id="{A7185702-7513-45A8-B4E1-163D0032C07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53350" y="141811375"/>
          <a:ext cx="7244292" cy="6157915"/>
        </a:xfrm>
        <a:prstGeom prst="rect">
          <a:avLst/>
        </a:prstGeom>
      </xdr:spPr>
    </xdr:pic>
    <xdr:clientData/>
  </xdr:twoCellAnchor>
  <xdr:twoCellAnchor editAs="oneCell">
    <xdr:from>
      <xdr:col>0</xdr:col>
      <xdr:colOff>247650</xdr:colOff>
      <xdr:row>613</xdr:row>
      <xdr:rowOff>190500</xdr:rowOff>
    </xdr:from>
    <xdr:to>
      <xdr:col>3</xdr:col>
      <xdr:colOff>962025</xdr:colOff>
      <xdr:row>624</xdr:row>
      <xdr:rowOff>124511</xdr:rowOff>
    </xdr:to>
    <xdr:pic>
      <xdr:nvPicPr>
        <xdr:cNvPr id="5" name="Picture 4">
          <a:extLst>
            <a:ext uri="{FF2B5EF4-FFF2-40B4-BE49-F238E27FC236}">
              <a16:creationId xmlns:a16="http://schemas.microsoft.com/office/drawing/2014/main" id="{3AB48046-FFAE-463A-8E2B-ED572EACB4B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47650" y="183775350"/>
          <a:ext cx="7820025" cy="213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fb202c9cb45fe1f/Jackson%20Family%20Wines/2018%20Emissions/2018%20JFW%20GHG%20Inventory%201.9.2020%20-%20JP%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ortcut-targets-by-id/1Bzu7_HauN_6OAPe7RSaUCTpP6jwoN53y/Barzman%20Work/Yealands/NZ%20-Emissions-Factors-Workbook-final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hortcut-targets-by-id\1Bzu7_HauN_6OAPe7RSaUCTpP6jwoN53y\Barzman%20Work\Yealands\NZ%20-Emissions-Factors-Workbook-final_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acksonfamilyenterprises-my.sharepoint.com/Users/prigg/Desktop/Jackson%20Family%20Wines/2017%20Ship%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jacksonfamilyenterprises.sharepoint.com/Users/prigg/Desktop/Jackson%20Family%20Wines/2017%20Ship%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acksonfamilyenterprises-my.sharepoint.com/Users/prigg/Desktop/BlackRock/2018_conversion_factors_2018_-_full_set__for_advanced_users__v0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jacksonfamilyenterprises.sharepoint.com/Users/prigg/Desktop/BlackRock/2018_conversion_factors_2018_-_full_set__for_advanced_users__v0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Emissions Table"/>
      <sheetName val="Typical Winery Emissions"/>
      <sheetName val="Visual Emissions Breakdown"/>
      <sheetName val="Graphic"/>
      <sheetName val="Summary"/>
      <sheetName val="Stationary"/>
      <sheetName val="Mobile"/>
      <sheetName val="Fugitive (refrigerants)"/>
      <sheetName val="Wastewater"/>
      <sheetName val="Electricity"/>
      <sheetName val="Fertilizer Production"/>
      <sheetName val="Product Transport"/>
      <sheetName val="Packaging"/>
      <sheetName val="Off-Site Waste"/>
      <sheetName val="Business Travel"/>
      <sheetName val="Vineyard Soil Emissions"/>
      <sheetName val="Employee Commute"/>
      <sheetName val="Winemaking"/>
      <sheetName val="Purchased Wine Products"/>
      <sheetName val="Procurement"/>
      <sheetName val="Tasting Room Traffic"/>
      <sheetName val="Compost Application"/>
      <sheetName val="Biomass Burning"/>
      <sheetName val="Municipal Water"/>
      <sheetName val="Post Consumer Waste"/>
      <sheetName val="Land Conversion"/>
      <sheetName val="Vineyard - Row Cropping"/>
      <sheetName val="Vineyard - Biomass Photosynth"/>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Fuel 2020"/>
      <sheetName val="T&amp;D losses 2020"/>
      <sheetName val="Purchased energy 2020"/>
      <sheetName val="2020 Working from home"/>
      <sheetName val="Refrigerant &amp; Other 2020"/>
      <sheetName val="Travel 2020"/>
      <sheetName val="Freight transport 2020"/>
      <sheetName val="Water supply and wastewater2020"/>
      <sheetName val="Materials 2020"/>
      <sheetName val="Waste 2020"/>
      <sheetName val="Agriculture forestry other 202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Fuel 2020"/>
      <sheetName val="T&amp;D losses 2020"/>
      <sheetName val="Purchased energy 2020"/>
      <sheetName val="2020 Working from home"/>
      <sheetName val="Refrigerant &amp; Other 2020"/>
      <sheetName val="Travel 2020"/>
      <sheetName val="Freight transport 2020"/>
      <sheetName val="Water supply and wastewater2020"/>
      <sheetName val="Materials 2020"/>
      <sheetName val="Waste 2020"/>
      <sheetName val="Agriculture forestry other 202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017"/>
      <sheetName val="2017"/>
      <sheetName val="State Distance"/>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017"/>
      <sheetName val="2017"/>
      <sheetName val="State Distance"/>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Delivery vehicles"/>
      <sheetName val="UK electricity"/>
      <sheetName val="Overseas electricity"/>
      <sheetName val="UK electricity for EVs"/>
      <sheetName val="Heat and steam"/>
      <sheetName val="WTT- fuels"/>
      <sheetName val="WTT- bioenergy"/>
      <sheetName val="Transmission and distribution"/>
      <sheetName val="UK electricity T&amp;D for EVs"/>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WTT- pass vehs &amp; travel- land"/>
      <sheetName val="Freighting goods"/>
      <sheetName val="WTT- delivery vehs &amp; freight"/>
      <sheetName val="Hotel stay"/>
      <sheetName val="Managed assets- electricity"/>
      <sheetName val="Managed assets- vehicles"/>
      <sheetName val="Outside of scopes"/>
      <sheetName val="Conversions"/>
      <sheetName val="Fuel prope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Delivery vehicles"/>
      <sheetName val="UK electricity"/>
      <sheetName val="Overseas electricity"/>
      <sheetName val="UK electricity for EVs"/>
      <sheetName val="Heat and steam"/>
      <sheetName val="WTT- fuels"/>
      <sheetName val="WTT- bioenergy"/>
      <sheetName val="Transmission and distribution"/>
      <sheetName val="UK electricity T&amp;D for EVs"/>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WTT- pass vehs &amp; travel- land"/>
      <sheetName val="Freighting goods"/>
      <sheetName val="WTT- delivery vehs &amp; freight"/>
      <sheetName val="Hotel stay"/>
      <sheetName val="Managed assets- electricity"/>
      <sheetName val="Managed assets- vehicles"/>
      <sheetName val="Outside of scopes"/>
      <sheetName val="Conversions"/>
      <sheetName val="Fuel prope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E13C39-10EE-4E2B-8A2E-CA7718B09AF7}" name="Table15" displayName="Table15" ref="B1:G136" totalsRowShown="0" headerRowDxfId="59" dataDxfId="58" tableBorderDxfId="57">
  <autoFilter ref="B1:G136" xr:uid="{B4F55D68-B225-4784-8F05-DC693CCA0EBE}"/>
  <tableColumns count="6">
    <tableColumn id="1" xr3:uid="{DFB96634-7F59-43BE-937E-6F54FCB0BAE4}" name="Scope" dataDxfId="56"/>
    <tableColumn id="2" xr3:uid="{B3A62E1D-8152-4D86-8A36-F2F0F0C465F9}" name="GHG Protocol Category" dataDxfId="55"/>
    <tableColumn id="5" xr3:uid="{F9EFE90C-3897-467D-848C-C2108305F433}" name="ISO 14064-1:2018 Category*_x000a_(see Notes below table)" dataDxfId="54"/>
    <tableColumn id="4" xr3:uid="{C1C2AAA5-B302-477C-B014-E46B7E0EC734}" name="Activity" dataDxfId="53"/>
    <tableColumn id="11" xr3:uid="{8DED2144-BF45-4B1A-8B9B-0EEA4ED60F18}" name="CO2mte" dataDxfId="52"/>
    <tableColumn id="3" xr3:uid="{1F37E4EB-68C7-414D-984A-D33769F124EB}" name="% of Total Scope 1-3^_x000a_(see Notes below table)" dataDxfId="5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91F7432-498D-413C-B14F-94BF0F6D4A61}" name="Table4" displayName="Table4" ref="A1146:C1155" totalsRowShown="0" headerRowDxfId="50" headerRowBorderDxfId="49" tableBorderDxfId="48">
  <autoFilter ref="A1146:C1155" xr:uid="{791F7432-498D-413C-B14F-94BF0F6D4A61}"/>
  <tableColumns count="3">
    <tableColumn id="4" xr3:uid="{83765045-2E6E-4306-BDCC-A45C36B6F4A6}" name="Material name" dataDxfId="47"/>
    <tableColumn id="5" xr3:uid="{72DC33E4-B79C-41C0-9CD0-2A4FA41B06A5}" name="ecoinvent 3.9 Database search" dataDxfId="46"/>
    <tableColumn id="1" xr3:uid="{C021770B-581E-4DC4-95EE-CDB1EE876B35}" name="kgCO2e/kg" dataDxfId="45"/>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03111F-E502-4AE5-8AC2-831D5CDA9733}" name="Table1" displayName="Table1" ref="A1159:C1164" totalsRowShown="0" dataDxfId="44">
  <autoFilter ref="A1159:C1164" xr:uid="{7A03111F-E502-4AE5-8AC2-831D5CDA9733}"/>
  <tableColumns count="3">
    <tableColumn id="1" xr3:uid="{3172E51C-BC36-4E42-B29F-8B2457289B5E}" name="Name" dataDxfId="43"/>
    <tableColumn id="6" xr3:uid="{0E4993DA-7510-4349-96E4-311467596172}" name="GLO/RoW ecoinvent 3.9.1" dataDxfId="42"/>
    <tableColumn id="2" xr3:uid="{48D011F4-4C06-4CB1-92AF-BAA6DDB07950}" name="kgCO2e/kg2" dataDxfId="41"/>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DE0308-A112-459E-8B81-26D24C25BAAF}" name="Table2" displayName="Table2" ref="A1166:D1167" totalsRowShown="0" headerRowDxfId="40">
  <autoFilter ref="A1166:D1167" xr:uid="{51DE0308-A112-459E-8B81-26D24C25BAAF}"/>
  <tableColumns count="4">
    <tableColumn id="1" xr3:uid="{B8D8AAF5-B3BB-42A0-B18F-45B3F129337C}" name="Name" dataDxfId="39"/>
    <tableColumn id="5" xr3:uid="{825A91BE-C495-4612-AAFC-DF34E10977C9}" name="EF source" dataDxfId="38"/>
    <tableColumn id="6" xr3:uid="{B6A18FB0-781C-4444-BF32-4F094632CABA}" name="kgCO2-E/ton" dataDxfId="37"/>
    <tableColumn id="7" xr3:uid="{C0D9BF7F-CD0A-47A7-930B-C49014E57ACC}" name="kgCO2e/kg" dataDxfId="36">
      <calculatedColumnFormula>C1167*0.00110231</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osh@sustridge.com?subject=IWCA%20Calculator%20Support" TargetMode="External"/><Relationship Id="rId7" Type="http://schemas.openxmlformats.org/officeDocument/2006/relationships/drawing" Target="../drawings/drawing1.xml"/><Relationship Id="rId2" Type="http://schemas.openxmlformats.org/officeDocument/2006/relationships/hyperlink" Target="https://www.lrqa.com/" TargetMode="External"/><Relationship Id="rId1" Type="http://schemas.openxmlformats.org/officeDocument/2006/relationships/hyperlink" Target="https://racetozero.unfccc.int/system/race-to-zero/" TargetMode="External"/><Relationship Id="rId6" Type="http://schemas.openxmlformats.org/officeDocument/2006/relationships/printerSettings" Target="../printerSettings/printerSettings1.bin"/><Relationship Id="rId5" Type="http://schemas.openxmlformats.org/officeDocument/2006/relationships/hyperlink" Target="https://www.iwcawine.org/" TargetMode="External"/><Relationship Id="rId4" Type="http://schemas.openxmlformats.org/officeDocument/2006/relationships/hyperlink" Target="https://www.sustridge.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ghgprotocol.org/sites/default/files/standards_supporting/Chapter1.pdf" TargetMode="External"/><Relationship Id="rId7" Type="http://schemas.openxmlformats.org/officeDocument/2006/relationships/hyperlink" Target="https://www.elgas.com.au/blog/1675-propane-conversion-values-pounds-gallons-btu-therms-ft-usa" TargetMode="External"/><Relationship Id="rId2" Type="http://schemas.openxmlformats.org/officeDocument/2006/relationships/hyperlink" Target="https://ghgprotocol.org/sites/default/files/standards_supporting/Chapter1.pdf" TargetMode="External"/><Relationship Id="rId1" Type="http://schemas.openxmlformats.org/officeDocument/2006/relationships/hyperlink" Target="https://quantis-suite.com/Scope-3-Evaluator/" TargetMode="External"/><Relationship Id="rId6" Type="http://schemas.openxmlformats.org/officeDocument/2006/relationships/hyperlink" Target="https://www.elgas.com.au/blog/1675-propane-conversion-values-pounds-gallons-btu-therms-ft-usa" TargetMode="External"/><Relationship Id="rId5" Type="http://schemas.openxmlformats.org/officeDocument/2006/relationships/hyperlink" Target="https://www.eia.gov/tools/faqs/faq.php?id=45&amp;t=8" TargetMode="External"/><Relationship Id="rId4" Type="http://schemas.openxmlformats.org/officeDocument/2006/relationships/hyperlink" Target="http://www.hooddistribution.com/product-weights/" TargetMode="External"/><Relationship Id="rId9"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8" Type="http://schemas.openxmlformats.org/officeDocument/2006/relationships/hyperlink" Target="https://environment.govt.nz/publications/measuring-emissions-detailed-guide-2020/" TargetMode="External"/><Relationship Id="rId13" Type="http://schemas.openxmlformats.org/officeDocument/2006/relationships/hyperlink" Target="https://www.industry.gov.au/data-and-publications/national-greenhouse-accounts-factors-2021" TargetMode="External"/><Relationship Id="rId18" Type="http://schemas.openxmlformats.org/officeDocument/2006/relationships/hyperlink" Target="https://www.globalpetrolprices.com/Australia/" TargetMode="External"/><Relationship Id="rId3" Type="http://schemas.openxmlformats.org/officeDocument/2006/relationships/hyperlink" Target="https://www.ghgprotocol.org/sites/default/files/ghgp/Global-Warming-Potential-Values%20%28Feb%2016%202016%29_1.pdf" TargetMode="External"/><Relationship Id="rId21" Type="http://schemas.openxmlformats.org/officeDocument/2006/relationships/vmlDrawing" Target="../drawings/vmlDrawing2.vml"/><Relationship Id="rId7" Type="http://schemas.openxmlformats.org/officeDocument/2006/relationships/hyperlink" Target="http://www.ipw.co.za/content/pdfs/ghg/eng/International_Wine_Carbon_Calculator_Protocol_V1.2.pdf" TargetMode="External"/><Relationship Id="rId12" Type="http://schemas.openxmlformats.org/officeDocument/2006/relationships/hyperlink" Target="https://www.industry.gov.au/data-and-publications/national-greenhouse-accounts-factors-2021" TargetMode="External"/><Relationship Id="rId17" Type="http://schemas.openxmlformats.org/officeDocument/2006/relationships/hyperlink" Target="https://www.researchgate.net/publication/313258190_Greenhouse_Gases_and_Energy_Intensity_of_Granite_Rock_Mining_Operations_in_Thailand_A_Case_of_Industrial_Rock-Construction" TargetMode="External"/><Relationship Id="rId25" Type="http://schemas.openxmlformats.org/officeDocument/2006/relationships/comments" Target="../comments2.xml"/><Relationship Id="rId2" Type="http://schemas.openxmlformats.org/officeDocument/2006/relationships/hyperlink" Target="https://www.eia.gov/tools/faqs/faq.php?id=82&amp;t=11" TargetMode="External"/><Relationship Id="rId16" Type="http://schemas.openxmlformats.org/officeDocument/2006/relationships/hyperlink" Target="https://www.globalpetrolprices.com/Australia/" TargetMode="External"/><Relationship Id="rId20" Type="http://schemas.openxmlformats.org/officeDocument/2006/relationships/drawing" Target="../drawings/drawing8.xml"/><Relationship Id="rId1" Type="http://schemas.openxmlformats.org/officeDocument/2006/relationships/hyperlink" Target="https://www.fpl.fs.fed.us/documnts/pdf2014/fpl_2014_bergman007.pdf" TargetMode="External"/><Relationship Id="rId6" Type="http://schemas.openxmlformats.org/officeDocument/2006/relationships/hyperlink" Target="https://environment.govt.nz/publications/measuring-emissions-detailed-guide-2020/" TargetMode="External"/><Relationship Id="rId11" Type="http://schemas.openxmlformats.org/officeDocument/2006/relationships/hyperlink" Target="https://www.industry.gov.au/data-and-publications/national-greenhouse-accounts-factors-2021" TargetMode="External"/><Relationship Id="rId24" Type="http://schemas.openxmlformats.org/officeDocument/2006/relationships/table" Target="../tables/table4.xml"/><Relationship Id="rId5" Type="http://schemas.openxmlformats.org/officeDocument/2006/relationships/hyperlink" Target="https://www.ipcc.ch/publications_and_data/ar4/wg1/en/ch2s2-10-2.html" TargetMode="External"/><Relationship Id="rId15" Type="http://schemas.openxmlformats.org/officeDocument/2006/relationships/hyperlink" Target="https://www.industry.gov.au/data-and-publications/national-greenhouse-accounts-factors-2021" TargetMode="External"/><Relationship Id="rId23" Type="http://schemas.openxmlformats.org/officeDocument/2006/relationships/table" Target="../tables/table3.xml"/><Relationship Id="rId10" Type="http://schemas.openxmlformats.org/officeDocument/2006/relationships/hyperlink" Target="https://www.industry.gov.au/data-and-publications/national-greenhouse-accounts-factors-2021" TargetMode="External"/><Relationship Id="rId19" Type="http://schemas.openxmlformats.org/officeDocument/2006/relationships/printerSettings" Target="../printerSettings/printerSettings27.bin"/><Relationship Id="rId4" Type="http://schemas.openxmlformats.org/officeDocument/2006/relationships/hyperlink" Target="https://environment.govt.nz/publications/measuring-emissions-detailed-guide-2020/" TargetMode="External"/><Relationship Id="rId9" Type="http://schemas.openxmlformats.org/officeDocument/2006/relationships/hyperlink" Target="https://www.industry.gov.au/data-and-publications/national-greenhouse-accounts-factors-2021" TargetMode="External"/><Relationship Id="rId14" Type="http://schemas.openxmlformats.org/officeDocument/2006/relationships/hyperlink" Target="https://www.industry.gov.au/data-and-publications/national-greenhouse-accounts-factors-2021" TargetMode="External"/><Relationship Id="rId22"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tools/faqs/faq.php?id=45&amp;t=8" TargetMode="External"/><Relationship Id="rId1" Type="http://schemas.openxmlformats.org/officeDocument/2006/relationships/hyperlink" Target="https://www.elgas.com.au/blog/1675-propane-conversion-values-pounds-gallons-btu-therms-ft-us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lgas.com.au/blog/1675-propane-conversion-values-pounds-gallons-btu-therms-ft-us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C6B1-0D9F-47C0-B6FC-F836DB8D7A36}">
  <sheetPr>
    <tabColor theme="9" tint="-0.499984740745262"/>
  </sheetPr>
  <dimension ref="A1:CY316"/>
  <sheetViews>
    <sheetView zoomScaleNormal="100" workbookViewId="0">
      <selection sqref="A1:A4"/>
    </sheetView>
  </sheetViews>
  <sheetFormatPr baseColWidth="10" defaultColWidth="9.1796875" defaultRowHeight="14.5" x14ac:dyDescent="0.35"/>
  <cols>
    <col min="1" max="1" width="118.81640625" customWidth="1"/>
    <col min="2" max="103" width="9.1796875" style="7"/>
  </cols>
  <sheetData>
    <row r="1" spans="1:103" s="25" customFormat="1" x14ac:dyDescent="0.35">
      <c r="A1" s="1270"/>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c r="CS1" s="147"/>
      <c r="CT1" s="147"/>
      <c r="CU1" s="147"/>
      <c r="CV1" s="147"/>
      <c r="CW1" s="147"/>
      <c r="CX1" s="147"/>
      <c r="CY1" s="147"/>
    </row>
    <row r="2" spans="1:103" s="25" customFormat="1" x14ac:dyDescent="0.35">
      <c r="A2" s="1270"/>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c r="CS2" s="147"/>
      <c r="CT2" s="147"/>
      <c r="CU2" s="147"/>
      <c r="CV2" s="147"/>
      <c r="CW2" s="147"/>
      <c r="CX2" s="147"/>
      <c r="CY2" s="147"/>
    </row>
    <row r="3" spans="1:103" s="25" customFormat="1" x14ac:dyDescent="0.35">
      <c r="A3" s="1270"/>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row>
    <row r="4" spans="1:103" s="25" customFormat="1" x14ac:dyDescent="0.35">
      <c r="A4" s="127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row>
    <row r="5" spans="1:103" ht="23.5" x14ac:dyDescent="0.55000000000000004">
      <c r="A5" s="653" t="s">
        <v>0</v>
      </c>
    </row>
    <row r="6" spans="1:103" ht="130.9" customHeight="1" x14ac:dyDescent="0.35">
      <c r="A6" s="140" t="s">
        <v>1918</v>
      </c>
    </row>
    <row r="7" spans="1:103" ht="23.5" x14ac:dyDescent="0.55000000000000004">
      <c r="A7" s="653" t="s">
        <v>1</v>
      </c>
    </row>
    <row r="8" spans="1:103" ht="53.25" customHeight="1" x14ac:dyDescent="0.35">
      <c r="A8" s="140" t="s">
        <v>1919</v>
      </c>
      <c r="D8"/>
    </row>
    <row r="9" spans="1:103" ht="69" customHeight="1" x14ac:dyDescent="0.35">
      <c r="A9" s="140" t="s">
        <v>2</v>
      </c>
      <c r="E9"/>
    </row>
    <row r="10" spans="1:103" ht="29.25" customHeight="1" x14ac:dyDescent="0.35">
      <c r="A10" s="141" t="s">
        <v>3</v>
      </c>
    </row>
    <row r="11" spans="1:103" ht="21" customHeight="1" x14ac:dyDescent="0.35">
      <c r="A11" s="148" t="s">
        <v>1920</v>
      </c>
      <c r="B11" s="147"/>
    </row>
    <row r="12" spans="1:103" ht="27.75" customHeight="1" x14ac:dyDescent="0.35">
      <c r="A12" s="148" t="s">
        <v>1921</v>
      </c>
      <c r="B12" s="147"/>
    </row>
    <row r="13" spans="1:103" ht="19.5" customHeight="1" x14ac:dyDescent="0.35">
      <c r="A13" s="149"/>
      <c r="B13" s="147"/>
    </row>
    <row r="14" spans="1:103" ht="23.5" x14ac:dyDescent="0.55000000000000004">
      <c r="A14" s="653" t="s">
        <v>4</v>
      </c>
    </row>
    <row r="15" spans="1:103" ht="29" x14ac:dyDescent="0.35">
      <c r="A15" s="138" t="s">
        <v>5</v>
      </c>
    </row>
    <row r="16" spans="1:103" x14ac:dyDescent="0.35">
      <c r="A16" s="138"/>
    </row>
    <row r="17" spans="1:2" ht="43.5" x14ac:dyDescent="0.35">
      <c r="A17" s="138" t="s">
        <v>6</v>
      </c>
    </row>
    <row r="18" spans="1:2" x14ac:dyDescent="0.35">
      <c r="A18" s="138"/>
    </row>
    <row r="19" spans="1:2" ht="64.5" customHeight="1" x14ac:dyDescent="0.35">
      <c r="A19" s="138" t="s">
        <v>7</v>
      </c>
    </row>
    <row r="20" spans="1:2" x14ac:dyDescent="0.35">
      <c r="A20" s="139"/>
    </row>
    <row r="21" spans="1:2" ht="29" x14ac:dyDescent="0.35">
      <c r="A21" s="150" t="s">
        <v>8</v>
      </c>
      <c r="B21" s="147"/>
    </row>
    <row r="22" spans="1:2" x14ac:dyDescent="0.35">
      <c r="A22" s="150"/>
      <c r="B22" s="147"/>
    </row>
    <row r="23" spans="1:2" x14ac:dyDescent="0.35">
      <c r="A23" s="150" t="s">
        <v>9</v>
      </c>
      <c r="B23" s="147"/>
    </row>
    <row r="24" spans="1:2" x14ac:dyDescent="0.35">
      <c r="A24" s="151"/>
      <c r="B24" s="147"/>
    </row>
    <row r="25" spans="1:2" x14ac:dyDescent="0.35">
      <c r="A25" s="154" t="s">
        <v>10</v>
      </c>
    </row>
    <row r="26" spans="1:2" x14ac:dyDescent="0.35">
      <c r="A26" s="152"/>
    </row>
    <row r="27" spans="1:2" ht="23.5" x14ac:dyDescent="0.55000000000000004">
      <c r="A27" s="653" t="s">
        <v>11</v>
      </c>
    </row>
    <row r="28" spans="1:2" ht="72.5" x14ac:dyDescent="0.35">
      <c r="A28" s="137" t="s">
        <v>12</v>
      </c>
    </row>
    <row r="29" spans="1:2" x14ac:dyDescent="0.35">
      <c r="A29" s="136"/>
    </row>
    <row r="30" spans="1:2" ht="29" x14ac:dyDescent="0.35">
      <c r="A30" s="137" t="s">
        <v>13</v>
      </c>
    </row>
    <row r="31" spans="1:2" x14ac:dyDescent="0.35">
      <c r="A31" s="151"/>
      <c r="B31" s="147"/>
    </row>
    <row r="32" spans="1:2" x14ac:dyDescent="0.35">
      <c r="A32" s="154" t="s">
        <v>14</v>
      </c>
      <c r="B32" s="147"/>
    </row>
    <row r="33" spans="1:3" x14ac:dyDescent="0.35">
      <c r="A33" s="151"/>
      <c r="B33" s="147"/>
      <c r="C33"/>
    </row>
    <row r="34" spans="1:3" x14ac:dyDescent="0.35">
      <c r="A34" s="151"/>
      <c r="B34" s="147"/>
    </row>
    <row r="35" spans="1:3" ht="23.5" x14ac:dyDescent="0.55000000000000004">
      <c r="A35" s="653" t="s">
        <v>15</v>
      </c>
    </row>
    <row r="36" spans="1:3" ht="130.5" x14ac:dyDescent="0.35">
      <c r="A36" s="137" t="s">
        <v>16</v>
      </c>
    </row>
    <row r="37" spans="1:3" x14ac:dyDescent="0.35">
      <c r="A37" s="136"/>
    </row>
    <row r="38" spans="1:3" ht="29" x14ac:dyDescent="0.35">
      <c r="A38" s="153" t="s">
        <v>17</v>
      </c>
      <c r="B38" s="147"/>
    </row>
    <row r="39" spans="1:3" x14ac:dyDescent="0.35">
      <c r="A39" s="154" t="s">
        <v>18</v>
      </c>
      <c r="B39" s="147"/>
    </row>
    <row r="40" spans="1:3" x14ac:dyDescent="0.35">
      <c r="A40" s="151"/>
      <c r="B40" s="147"/>
    </row>
    <row r="41" spans="1:3" x14ac:dyDescent="0.35">
      <c r="A41" s="151"/>
      <c r="B41" s="147"/>
    </row>
    <row r="42" spans="1:3" x14ac:dyDescent="0.35">
      <c r="A42" s="151"/>
      <c r="B42" s="147"/>
    </row>
    <row r="43" spans="1:3" ht="22.5" customHeight="1" x14ac:dyDescent="0.35">
      <c r="A43" s="151"/>
      <c r="B43" s="147"/>
    </row>
    <row r="44" spans="1:3" x14ac:dyDescent="0.35">
      <c r="A44" s="151"/>
      <c r="B44" s="147"/>
    </row>
    <row r="45" spans="1:3" s="7" customFormat="1" x14ac:dyDescent="0.35">
      <c r="A45" s="359" t="s">
        <v>1922</v>
      </c>
    </row>
    <row r="46" spans="1:3" s="7" customFormat="1" x14ac:dyDescent="0.35"/>
    <row r="47" spans="1:3" s="7" customFormat="1" x14ac:dyDescent="0.35"/>
    <row r="48" spans="1:3" s="7" customFormat="1" x14ac:dyDescent="0.35"/>
    <row r="49" s="7" customFormat="1" x14ac:dyDescent="0.35"/>
    <row r="50" s="7" customFormat="1" x14ac:dyDescent="0.35"/>
    <row r="51" s="7" customFormat="1" x14ac:dyDescent="0.35"/>
    <row r="52" s="7" customFormat="1" x14ac:dyDescent="0.35"/>
    <row r="53" s="7" customFormat="1" x14ac:dyDescent="0.35"/>
    <row r="54" s="7" customFormat="1" x14ac:dyDescent="0.35"/>
    <row r="55" s="7" customFormat="1" x14ac:dyDescent="0.35"/>
    <row r="56" s="7" customFormat="1" x14ac:dyDescent="0.35"/>
    <row r="57" s="7" customFormat="1" x14ac:dyDescent="0.35"/>
    <row r="58" s="7" customFormat="1" x14ac:dyDescent="0.35"/>
    <row r="59" s="7" customFormat="1" x14ac:dyDescent="0.35"/>
    <row r="60" s="7" customFormat="1" x14ac:dyDescent="0.35"/>
    <row r="61" s="7" customFormat="1" x14ac:dyDescent="0.35"/>
    <row r="62" s="7" customFormat="1" x14ac:dyDescent="0.35"/>
    <row r="63" s="7" customFormat="1" x14ac:dyDescent="0.35"/>
    <row r="64" s="7" customFormat="1" x14ac:dyDescent="0.35"/>
    <row r="65" s="7" customFormat="1" x14ac:dyDescent="0.35"/>
    <row r="66" s="7" customFormat="1" x14ac:dyDescent="0.35"/>
    <row r="67" s="7" customFormat="1" x14ac:dyDescent="0.35"/>
    <row r="68" s="7" customFormat="1" x14ac:dyDescent="0.35"/>
    <row r="69" s="7" customFormat="1" x14ac:dyDescent="0.35"/>
    <row r="70" s="7" customFormat="1" x14ac:dyDescent="0.35"/>
    <row r="71" s="7" customFormat="1" x14ac:dyDescent="0.35"/>
    <row r="72" s="7" customFormat="1" x14ac:dyDescent="0.35"/>
    <row r="73" s="7" customFormat="1" x14ac:dyDescent="0.35"/>
    <row r="74" s="7" customFormat="1" x14ac:dyDescent="0.35"/>
    <row r="75" s="7" customFormat="1" x14ac:dyDescent="0.35"/>
    <row r="76" s="7" customFormat="1" x14ac:dyDescent="0.35"/>
    <row r="77" s="7" customFormat="1" x14ac:dyDescent="0.35"/>
    <row r="78" s="7" customFormat="1" x14ac:dyDescent="0.35"/>
    <row r="79" s="7" customFormat="1" x14ac:dyDescent="0.35"/>
    <row r="80" s="7" customFormat="1" x14ac:dyDescent="0.35"/>
    <row r="81" s="7" customFormat="1" x14ac:dyDescent="0.35"/>
    <row r="82" s="7" customFormat="1" x14ac:dyDescent="0.35"/>
    <row r="83" s="7" customFormat="1" x14ac:dyDescent="0.35"/>
    <row r="84" s="7" customFormat="1" x14ac:dyDescent="0.35"/>
    <row r="85" s="7" customFormat="1" x14ac:dyDescent="0.35"/>
    <row r="86" s="7" customFormat="1" x14ac:dyDescent="0.35"/>
    <row r="87" s="7" customFormat="1" x14ac:dyDescent="0.35"/>
    <row r="88" s="7" customFormat="1" x14ac:dyDescent="0.35"/>
    <row r="89" s="7" customFormat="1" x14ac:dyDescent="0.35"/>
    <row r="90" s="7" customFormat="1" x14ac:dyDescent="0.35"/>
    <row r="91" s="7" customFormat="1" x14ac:dyDescent="0.35"/>
    <row r="92" s="7" customFormat="1" x14ac:dyDescent="0.35"/>
    <row r="93" s="7" customFormat="1" x14ac:dyDescent="0.35"/>
    <row r="94" s="7" customFormat="1" x14ac:dyDescent="0.35"/>
    <row r="95" s="7" customFormat="1" x14ac:dyDescent="0.35"/>
    <row r="96" s="7" customFormat="1" x14ac:dyDescent="0.35"/>
    <row r="97" s="7" customFormat="1" x14ac:dyDescent="0.35"/>
    <row r="98" s="7" customFormat="1" x14ac:dyDescent="0.35"/>
    <row r="99" s="7" customFormat="1" x14ac:dyDescent="0.35"/>
    <row r="100" s="7" customFormat="1" x14ac:dyDescent="0.35"/>
    <row r="101" s="7" customFormat="1" x14ac:dyDescent="0.35"/>
    <row r="102" s="7" customFormat="1" x14ac:dyDescent="0.35"/>
    <row r="103" s="7" customFormat="1" x14ac:dyDescent="0.35"/>
    <row r="104" s="7" customFormat="1" x14ac:dyDescent="0.35"/>
    <row r="105" s="7" customFormat="1" x14ac:dyDescent="0.35"/>
    <row r="106" s="7" customFormat="1" x14ac:dyDescent="0.35"/>
    <row r="107" s="7" customFormat="1" x14ac:dyDescent="0.35"/>
    <row r="108" s="7" customFormat="1" x14ac:dyDescent="0.35"/>
    <row r="109" s="7" customFormat="1" x14ac:dyDescent="0.35"/>
    <row r="110" s="7" customFormat="1" x14ac:dyDescent="0.35"/>
    <row r="111" s="7" customFormat="1" x14ac:dyDescent="0.35"/>
    <row r="112" s="7" customFormat="1" x14ac:dyDescent="0.35"/>
    <row r="113" s="7" customFormat="1" x14ac:dyDescent="0.35"/>
    <row r="114" s="7" customFormat="1" x14ac:dyDescent="0.35"/>
    <row r="115" s="7" customFormat="1" x14ac:dyDescent="0.35"/>
    <row r="116" s="7" customFormat="1" x14ac:dyDescent="0.35"/>
    <row r="117" s="7" customFormat="1" x14ac:dyDescent="0.35"/>
    <row r="118" s="7" customFormat="1" x14ac:dyDescent="0.35"/>
    <row r="119" s="7" customFormat="1" x14ac:dyDescent="0.35"/>
    <row r="120" s="7" customFormat="1" x14ac:dyDescent="0.35"/>
    <row r="121" s="7" customFormat="1" x14ac:dyDescent="0.35"/>
    <row r="122" s="7" customFormat="1" x14ac:dyDescent="0.35"/>
    <row r="123" s="7" customFormat="1" x14ac:dyDescent="0.35"/>
    <row r="124" s="7" customFormat="1" x14ac:dyDescent="0.35"/>
    <row r="125" s="7" customFormat="1" x14ac:dyDescent="0.35"/>
    <row r="126" s="7" customFormat="1" x14ac:dyDescent="0.35"/>
    <row r="127" s="7" customFormat="1" x14ac:dyDescent="0.35"/>
    <row r="128" s="7" customFormat="1" x14ac:dyDescent="0.35"/>
    <row r="129" s="7" customFormat="1" x14ac:dyDescent="0.35"/>
    <row r="130" s="7" customFormat="1" x14ac:dyDescent="0.35"/>
    <row r="131" s="7" customFormat="1" x14ac:dyDescent="0.35"/>
    <row r="132" s="7" customFormat="1" x14ac:dyDescent="0.35"/>
    <row r="133" s="7" customFormat="1" x14ac:dyDescent="0.35"/>
    <row r="134" s="7" customFormat="1" x14ac:dyDescent="0.35"/>
    <row r="135" s="7" customFormat="1" x14ac:dyDescent="0.35"/>
    <row r="136" s="7" customFormat="1" x14ac:dyDescent="0.35"/>
    <row r="137" s="7" customFormat="1" x14ac:dyDescent="0.35"/>
    <row r="138" s="7" customFormat="1" x14ac:dyDescent="0.35"/>
    <row r="139" s="7" customFormat="1" x14ac:dyDescent="0.35"/>
    <row r="140" s="7" customFormat="1" x14ac:dyDescent="0.35"/>
    <row r="141" s="7" customFormat="1" x14ac:dyDescent="0.35"/>
    <row r="142" s="7" customFormat="1" x14ac:dyDescent="0.35"/>
    <row r="143" s="7" customFormat="1" x14ac:dyDescent="0.35"/>
    <row r="144" s="7" customFormat="1" x14ac:dyDescent="0.35"/>
    <row r="145" s="7" customFormat="1" x14ac:dyDescent="0.35"/>
    <row r="146" s="7" customFormat="1" x14ac:dyDescent="0.35"/>
    <row r="147" s="7" customFormat="1" x14ac:dyDescent="0.35"/>
    <row r="148" s="7" customFormat="1" x14ac:dyDescent="0.35"/>
    <row r="149" s="7" customFormat="1" x14ac:dyDescent="0.35"/>
    <row r="150" s="7" customFormat="1" x14ac:dyDescent="0.35"/>
    <row r="151" s="7" customFormat="1" x14ac:dyDescent="0.35"/>
    <row r="152" s="7" customFormat="1" x14ac:dyDescent="0.35"/>
    <row r="153" s="7" customFormat="1" x14ac:dyDescent="0.35"/>
    <row r="154" s="7" customFormat="1" x14ac:dyDescent="0.35"/>
    <row r="155" s="7" customFormat="1" x14ac:dyDescent="0.35"/>
    <row r="156" s="7" customFormat="1" x14ac:dyDescent="0.35"/>
    <row r="157" s="7" customFormat="1" x14ac:dyDescent="0.35"/>
    <row r="158" s="7" customFormat="1" x14ac:dyDescent="0.35"/>
    <row r="159" s="7" customFormat="1" x14ac:dyDescent="0.35"/>
    <row r="160" s="7" customFormat="1" x14ac:dyDescent="0.35"/>
    <row r="161" s="7" customFormat="1" x14ac:dyDescent="0.35"/>
    <row r="162" s="7" customFormat="1" x14ac:dyDescent="0.35"/>
    <row r="163" s="7" customFormat="1" x14ac:dyDescent="0.35"/>
    <row r="164" s="7" customFormat="1" x14ac:dyDescent="0.35"/>
    <row r="165" s="7" customFormat="1" x14ac:dyDescent="0.35"/>
    <row r="166" s="7" customFormat="1" x14ac:dyDescent="0.35"/>
    <row r="167" s="7" customFormat="1" x14ac:dyDescent="0.35"/>
    <row r="168" s="7" customFormat="1" x14ac:dyDescent="0.35"/>
    <row r="169" s="7" customFormat="1" x14ac:dyDescent="0.35"/>
    <row r="170" s="7" customFormat="1" x14ac:dyDescent="0.35"/>
    <row r="171" s="7" customFormat="1" x14ac:dyDescent="0.35"/>
    <row r="172" s="7" customFormat="1" x14ac:dyDescent="0.35"/>
    <row r="173" s="7" customFormat="1" x14ac:dyDescent="0.35"/>
    <row r="174" s="7" customFormat="1" x14ac:dyDescent="0.35"/>
    <row r="175" s="7" customFormat="1" x14ac:dyDescent="0.35"/>
    <row r="176"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7" customFormat="1" x14ac:dyDescent="0.35"/>
    <row r="194" s="7" customFormat="1" x14ac:dyDescent="0.35"/>
    <row r="195" s="7" customFormat="1" x14ac:dyDescent="0.35"/>
    <row r="196" s="7" customFormat="1" x14ac:dyDescent="0.35"/>
    <row r="197" s="7" customFormat="1" x14ac:dyDescent="0.35"/>
    <row r="198" s="7" customFormat="1" x14ac:dyDescent="0.35"/>
    <row r="199" s="7" customFormat="1" x14ac:dyDescent="0.35"/>
    <row r="200" s="7" customFormat="1" x14ac:dyDescent="0.35"/>
    <row r="201" s="7" customFormat="1" x14ac:dyDescent="0.35"/>
    <row r="202" s="7" customFormat="1" x14ac:dyDescent="0.35"/>
    <row r="203" s="7" customFormat="1" x14ac:dyDescent="0.35"/>
    <row r="204" s="7" customFormat="1" x14ac:dyDescent="0.35"/>
    <row r="205" s="7" customFormat="1" x14ac:dyDescent="0.35"/>
    <row r="206" s="7" customFormat="1" x14ac:dyDescent="0.35"/>
    <row r="207" s="7" customFormat="1" x14ac:dyDescent="0.35"/>
    <row r="20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row r="225" s="7" customFormat="1" x14ac:dyDescent="0.35"/>
    <row r="226" s="7" customFormat="1" x14ac:dyDescent="0.35"/>
    <row r="227" s="7" customFormat="1" x14ac:dyDescent="0.35"/>
    <row r="228" s="7" customFormat="1" x14ac:dyDescent="0.35"/>
    <row r="229" s="7" customFormat="1" x14ac:dyDescent="0.35"/>
    <row r="230" s="7" customFormat="1" x14ac:dyDescent="0.35"/>
    <row r="231" s="7" customFormat="1" x14ac:dyDescent="0.35"/>
    <row r="232" s="7" customFormat="1" x14ac:dyDescent="0.35"/>
    <row r="233" s="7" customFormat="1" x14ac:dyDescent="0.35"/>
    <row r="234" s="7" customFormat="1" x14ac:dyDescent="0.35"/>
    <row r="235" s="7" customFormat="1" x14ac:dyDescent="0.35"/>
    <row r="236" s="7" customFormat="1" x14ac:dyDescent="0.35"/>
    <row r="237" s="7" customFormat="1" x14ac:dyDescent="0.35"/>
    <row r="238" s="7" customFormat="1" x14ac:dyDescent="0.35"/>
    <row r="239" s="7" customFormat="1" x14ac:dyDescent="0.35"/>
    <row r="240" s="7" customFormat="1" x14ac:dyDescent="0.35"/>
    <row r="241" s="7" customFormat="1" x14ac:dyDescent="0.35"/>
    <row r="242" s="7" customFormat="1" x14ac:dyDescent="0.35"/>
    <row r="243" s="7" customFormat="1" x14ac:dyDescent="0.35"/>
    <row r="244" s="7" customFormat="1" x14ac:dyDescent="0.35"/>
    <row r="245" s="7" customFormat="1" x14ac:dyDescent="0.35"/>
    <row r="246" s="7" customFormat="1" x14ac:dyDescent="0.35"/>
    <row r="247" s="7" customFormat="1" x14ac:dyDescent="0.35"/>
    <row r="248" s="7" customFormat="1" x14ac:dyDescent="0.35"/>
    <row r="249" s="7" customFormat="1" x14ac:dyDescent="0.35"/>
    <row r="250" s="7" customFormat="1" x14ac:dyDescent="0.35"/>
    <row r="251" s="7" customFormat="1" x14ac:dyDescent="0.35"/>
    <row r="252" s="7" customFormat="1" x14ac:dyDescent="0.35"/>
    <row r="253" s="7" customFormat="1" x14ac:dyDescent="0.35"/>
    <row r="254" s="7" customFormat="1" x14ac:dyDescent="0.35"/>
    <row r="255" s="7" customFormat="1" x14ac:dyDescent="0.35"/>
    <row r="256" s="7" customFormat="1" x14ac:dyDescent="0.35"/>
    <row r="257" s="7" customFormat="1" x14ac:dyDescent="0.35"/>
    <row r="258" s="7" customFormat="1" x14ac:dyDescent="0.35"/>
    <row r="259" s="7" customFormat="1" x14ac:dyDescent="0.35"/>
    <row r="260" s="7" customFormat="1" x14ac:dyDescent="0.35"/>
    <row r="261" s="7" customFormat="1" x14ac:dyDescent="0.35"/>
    <row r="262" s="7" customFormat="1" x14ac:dyDescent="0.35"/>
    <row r="263" s="7" customFormat="1" x14ac:dyDescent="0.35"/>
    <row r="264" s="7" customFormat="1" x14ac:dyDescent="0.35"/>
    <row r="265" s="7" customFormat="1" x14ac:dyDescent="0.35"/>
    <row r="266" s="7" customFormat="1" x14ac:dyDescent="0.35"/>
    <row r="267" s="7" customFormat="1" x14ac:dyDescent="0.35"/>
    <row r="268" s="7" customFormat="1" x14ac:dyDescent="0.35"/>
    <row r="269" s="7" customFormat="1" x14ac:dyDescent="0.35"/>
    <row r="270" s="7" customFormat="1" x14ac:dyDescent="0.35"/>
    <row r="271" s="7" customFormat="1" x14ac:dyDescent="0.35"/>
    <row r="272" s="7" customFormat="1" x14ac:dyDescent="0.35"/>
    <row r="273" s="7" customFormat="1" x14ac:dyDescent="0.35"/>
    <row r="274" s="7" customFormat="1" x14ac:dyDescent="0.35"/>
    <row r="275" s="7" customFormat="1" x14ac:dyDescent="0.35"/>
    <row r="276" s="7" customFormat="1" x14ac:dyDescent="0.35"/>
    <row r="277" s="7" customFormat="1" x14ac:dyDescent="0.35"/>
    <row r="278" s="7" customFormat="1" x14ac:dyDescent="0.35"/>
    <row r="279" s="7" customFormat="1" x14ac:dyDescent="0.35"/>
    <row r="280" s="7" customFormat="1" x14ac:dyDescent="0.35"/>
    <row r="281" s="7" customFormat="1" x14ac:dyDescent="0.35"/>
    <row r="282" s="7" customFormat="1" x14ac:dyDescent="0.35"/>
    <row r="283" s="7" customFormat="1" x14ac:dyDescent="0.35"/>
    <row r="284" s="7" customFormat="1" x14ac:dyDescent="0.35"/>
    <row r="285" s="7" customFormat="1" x14ac:dyDescent="0.35"/>
    <row r="286" s="7" customFormat="1" x14ac:dyDescent="0.35"/>
    <row r="287" s="7" customFormat="1" x14ac:dyDescent="0.35"/>
    <row r="288" s="7" customFormat="1" x14ac:dyDescent="0.35"/>
    <row r="289" s="7" customFormat="1" x14ac:dyDescent="0.35"/>
    <row r="290" s="7" customFormat="1" x14ac:dyDescent="0.35"/>
    <row r="291" s="7" customFormat="1" x14ac:dyDescent="0.35"/>
    <row r="292" s="7" customFormat="1" x14ac:dyDescent="0.35"/>
    <row r="293" s="7" customFormat="1" x14ac:dyDescent="0.35"/>
    <row r="294" s="7" customFormat="1" x14ac:dyDescent="0.35"/>
    <row r="295" s="7" customFormat="1" x14ac:dyDescent="0.35"/>
    <row r="296" s="7" customFormat="1" x14ac:dyDescent="0.35"/>
    <row r="297" s="7" customFormat="1" x14ac:dyDescent="0.35"/>
    <row r="298" s="7" customFormat="1" x14ac:dyDescent="0.35"/>
    <row r="299" s="7" customFormat="1" x14ac:dyDescent="0.35"/>
    <row r="300" s="7" customFormat="1" x14ac:dyDescent="0.35"/>
    <row r="301" s="7" customFormat="1" x14ac:dyDescent="0.35"/>
    <row r="302" s="7" customFormat="1" x14ac:dyDescent="0.35"/>
    <row r="303" s="7" customFormat="1" x14ac:dyDescent="0.35"/>
    <row r="304" s="7" customFormat="1" x14ac:dyDescent="0.35"/>
    <row r="305" s="7" customFormat="1" x14ac:dyDescent="0.35"/>
    <row r="306" s="7" customFormat="1" x14ac:dyDescent="0.35"/>
    <row r="307" s="7" customFormat="1" x14ac:dyDescent="0.35"/>
    <row r="308" s="7" customFormat="1" x14ac:dyDescent="0.35"/>
    <row r="309" s="7" customFormat="1" x14ac:dyDescent="0.35"/>
    <row r="310" s="7" customFormat="1" x14ac:dyDescent="0.35"/>
    <row r="311" s="7" customFormat="1" x14ac:dyDescent="0.35"/>
    <row r="312" s="7" customFormat="1" x14ac:dyDescent="0.35"/>
    <row r="313" s="7" customFormat="1" x14ac:dyDescent="0.35"/>
    <row r="314" s="7" customFormat="1" x14ac:dyDescent="0.35"/>
    <row r="315" s="7" customFormat="1" x14ac:dyDescent="0.35"/>
    <row r="316" s="7" customFormat="1" x14ac:dyDescent="0.35"/>
  </sheetData>
  <sheetProtection sheet="1"/>
  <mergeCells count="1">
    <mergeCell ref="A1:A4"/>
  </mergeCells>
  <hyperlinks>
    <hyperlink ref="A39" r:id="rId1" xr:uid="{6A13F19E-01EA-4D1E-811E-E200678DC144}"/>
    <hyperlink ref="A32" r:id="rId2" xr:uid="{144A4792-6B25-406D-906B-E30CC543085A}"/>
    <hyperlink ref="A11" r:id="rId3" display="Email: josh@sustridge.com" xr:uid="{013E926A-A311-4D51-B002-065937986EEE}"/>
    <hyperlink ref="A12" r:id="rId4" display="https://www.sustridge.com/ " xr:uid="{2D05A642-CF00-4CE2-9AD3-0468DBFD5F96}"/>
    <hyperlink ref="A25" r:id="rId5" xr:uid="{57D92DF9-959A-438D-BC9A-2545FA3EC3E7}"/>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15229-E51F-4EB3-9F63-E87D2DA04112}">
  <sheetPr>
    <tabColor rgb="FFFF9900"/>
  </sheetPr>
  <dimension ref="A1:R60"/>
  <sheetViews>
    <sheetView topLeftCell="B1" zoomScale="54" zoomScaleNormal="85" workbookViewId="0">
      <selection activeCell="B15" sqref="B15"/>
    </sheetView>
  </sheetViews>
  <sheetFormatPr baseColWidth="10" defaultColWidth="27.453125" defaultRowHeight="18.5" x14ac:dyDescent="0.45"/>
  <cols>
    <col min="1" max="1" width="35" style="807" customWidth="1"/>
    <col min="2" max="2" width="35.81640625" style="668" bestFit="1" customWidth="1"/>
    <col min="3" max="3" width="14.1796875" style="668" customWidth="1"/>
    <col min="4" max="5" width="35.54296875" style="668" bestFit="1" customWidth="1"/>
    <col min="6" max="6" width="27.453125" style="668"/>
    <col min="7" max="7" width="26.81640625" style="668" bestFit="1" customWidth="1"/>
    <col min="8" max="8" width="24.7265625" style="668" bestFit="1" customWidth="1"/>
    <col min="9" max="9" width="35.54296875" style="668" bestFit="1" customWidth="1"/>
    <col min="10" max="10" width="18.81640625" style="668" bestFit="1" customWidth="1"/>
    <col min="11" max="11" width="16.54296875" style="668" bestFit="1" customWidth="1"/>
    <col min="12" max="12" width="5.81640625" style="668" customWidth="1"/>
    <col min="13" max="13" width="13.1796875" style="668" bestFit="1" customWidth="1"/>
    <col min="14" max="14" width="5.1796875" style="668" customWidth="1"/>
    <col min="15" max="15" width="12.54296875" style="668" bestFit="1" customWidth="1"/>
    <col min="16" max="16" width="7" style="668" customWidth="1"/>
    <col min="17" max="16384" width="27.453125" style="668"/>
  </cols>
  <sheetData>
    <row r="1" spans="1:18" ht="19" customHeight="1" thickBot="1" x14ac:dyDescent="0.5">
      <c r="A1" s="654" t="s">
        <v>56</v>
      </c>
      <c r="B1" s="1468" t="s">
        <v>444</v>
      </c>
      <c r="C1" s="1469"/>
      <c r="D1" s="1469"/>
      <c r="E1" s="1469"/>
      <c r="F1" s="1470"/>
      <c r="I1" s="1514" t="s">
        <v>318</v>
      </c>
      <c r="J1" s="1515"/>
      <c r="K1" s="1515"/>
      <c r="L1" s="1515"/>
      <c r="M1" s="1515"/>
      <c r="N1" s="1516"/>
    </row>
    <row r="2" spans="1:18" x14ac:dyDescent="0.45">
      <c r="A2" s="786"/>
      <c r="B2" s="637"/>
      <c r="C2" s="637"/>
      <c r="D2" s="637"/>
      <c r="E2" s="637"/>
      <c r="F2" s="787"/>
      <c r="I2" s="788" t="s">
        <v>319</v>
      </c>
      <c r="J2" s="789"/>
      <c r="K2" s="790" t="s">
        <v>320</v>
      </c>
      <c r="L2" s="791"/>
      <c r="M2" s="790" t="s">
        <v>321</v>
      </c>
      <c r="N2" s="792"/>
    </row>
    <row r="3" spans="1:18" x14ac:dyDescent="0.45">
      <c r="A3" s="1489" t="s">
        <v>406</v>
      </c>
      <c r="B3" s="1490"/>
      <c r="C3" s="637"/>
      <c r="D3" s="637"/>
      <c r="E3" s="637"/>
      <c r="K3" s="637"/>
      <c r="L3" s="637"/>
      <c r="M3" s="786"/>
      <c r="N3" s="637"/>
      <c r="O3" s="786"/>
    </row>
    <row r="4" spans="1:18" x14ac:dyDescent="0.45">
      <c r="A4" s="730" t="s">
        <v>445</v>
      </c>
      <c r="B4" s="793">
        <f>D59</f>
        <v>0</v>
      </c>
      <c r="C4" s="637"/>
      <c r="D4" s="637"/>
      <c r="E4" s="637"/>
      <c r="F4" s="794"/>
      <c r="R4" s="794"/>
    </row>
    <row r="5" spans="1:18" ht="41.25" customHeight="1" x14ac:dyDescent="0.45">
      <c r="A5" s="730" t="s">
        <v>73</v>
      </c>
      <c r="B5" s="793">
        <f>I11</f>
        <v>0</v>
      </c>
      <c r="C5" s="637"/>
      <c r="D5" s="637"/>
      <c r="E5" s="637"/>
      <c r="F5" s="794"/>
      <c r="R5" s="794"/>
    </row>
    <row r="6" spans="1:18" x14ac:dyDescent="0.45">
      <c r="A6" s="786"/>
      <c r="B6" s="637"/>
      <c r="C6" s="637"/>
      <c r="D6" s="637"/>
      <c r="E6" s="637"/>
      <c r="F6" s="795"/>
      <c r="G6" s="795"/>
    </row>
    <row r="7" spans="1:18" x14ac:dyDescent="0.45">
      <c r="A7" s="786"/>
      <c r="B7" s="637"/>
      <c r="C7" s="637"/>
      <c r="D7" s="637"/>
      <c r="E7" s="637"/>
      <c r="F7" s="795"/>
      <c r="G7" s="795"/>
    </row>
    <row r="8" spans="1:18" ht="36" x14ac:dyDescent="0.8">
      <c r="A8" s="1479" t="s">
        <v>56</v>
      </c>
      <c r="B8" s="1480"/>
      <c r="C8" s="1480"/>
      <c r="D8" s="1480"/>
      <c r="E8" s="795"/>
      <c r="F8" s="1479" t="s">
        <v>73</v>
      </c>
      <c r="G8" s="1480"/>
      <c r="H8" s="1480"/>
      <c r="I8" s="1480"/>
    </row>
    <row r="9" spans="1:18" s="667" customFormat="1" ht="24" thickBot="1" x14ac:dyDescent="0.6">
      <c r="A9" s="651" t="s">
        <v>330</v>
      </c>
      <c r="B9" s="1517"/>
      <c r="C9" s="1517"/>
      <c r="D9" s="1517"/>
      <c r="E9" s="689"/>
      <c r="F9" s="651" t="s">
        <v>330</v>
      </c>
      <c r="G9" s="1517"/>
      <c r="H9" s="1517"/>
      <c r="I9" s="1517"/>
    </row>
    <row r="10" spans="1:18" ht="37" x14ac:dyDescent="0.45">
      <c r="A10" s="615" t="s">
        <v>446</v>
      </c>
      <c r="B10" s="615" t="s">
        <v>447</v>
      </c>
      <c r="C10" s="615" t="s">
        <v>448</v>
      </c>
      <c r="D10" s="616" t="s">
        <v>372</v>
      </c>
      <c r="E10" s="689"/>
      <c r="F10" s="796"/>
      <c r="G10" s="615" t="s">
        <v>449</v>
      </c>
      <c r="H10" s="615" t="s">
        <v>448</v>
      </c>
      <c r="I10" s="616" t="s">
        <v>372</v>
      </c>
    </row>
    <row r="11" spans="1:18" ht="19" thickBot="1" x14ac:dyDescent="0.5">
      <c r="A11" s="638" t="s">
        <v>451</v>
      </c>
      <c r="B11" s="638" t="s">
        <v>452</v>
      </c>
      <c r="C11" s="797"/>
      <c r="D11" s="798">
        <f>SUM(C11*'Emission Factors'!C5)/1000</f>
        <v>0</v>
      </c>
      <c r="E11" s="689"/>
      <c r="F11" s="799" t="s">
        <v>453</v>
      </c>
      <c r="G11" s="799" t="s">
        <v>454</v>
      </c>
      <c r="H11" s="797"/>
      <c r="I11" s="800">
        <f>SUM(H11*'Emission Factors'!C5)/1000</f>
        <v>0</v>
      </c>
    </row>
    <row r="12" spans="1:18" x14ac:dyDescent="0.45">
      <c r="A12" s="638" t="s">
        <v>455</v>
      </c>
      <c r="B12" s="638" t="s">
        <v>456</v>
      </c>
      <c r="C12" s="797"/>
      <c r="D12" s="798">
        <f>SUM(C12*'Emission Factors'!C6)/1000</f>
        <v>0</v>
      </c>
      <c r="E12" s="689"/>
      <c r="F12" s="795"/>
    </row>
    <row r="13" spans="1:18" x14ac:dyDescent="0.45">
      <c r="A13" s="638" t="s">
        <v>457</v>
      </c>
      <c r="B13" s="638" t="s">
        <v>458</v>
      </c>
      <c r="C13" s="797"/>
      <c r="D13" s="798">
        <f>SUM(C13*'Emission Factors'!C7)/1000</f>
        <v>0</v>
      </c>
      <c r="E13" s="689"/>
      <c r="F13" s="795"/>
    </row>
    <row r="14" spans="1:18" ht="19" thickBot="1" x14ac:dyDescent="0.5">
      <c r="A14" s="638" t="s">
        <v>459</v>
      </c>
      <c r="B14" s="638" t="s">
        <v>460</v>
      </c>
      <c r="C14" s="797"/>
      <c r="D14" s="801">
        <f>SUM(C14*'Emission Factors'!D144)/1000</f>
        <v>0</v>
      </c>
      <c r="E14" s="795"/>
    </row>
    <row r="15" spans="1:18" ht="19" customHeight="1" thickBot="1" x14ac:dyDescent="0.5">
      <c r="A15" s="802" t="s">
        <v>461</v>
      </c>
      <c r="B15" s="803"/>
      <c r="C15" s="803"/>
      <c r="D15" s="803"/>
      <c r="E15" s="795"/>
      <c r="F15" s="795"/>
    </row>
    <row r="16" spans="1:18" x14ac:dyDescent="0.45">
      <c r="A16" s="638" t="s">
        <v>462</v>
      </c>
      <c r="B16" s="638" t="s">
        <v>463</v>
      </c>
      <c r="C16" s="797"/>
      <c r="D16" s="804">
        <f>SUM(C16*'Emission Factors'!E175)/1000</f>
        <v>0</v>
      </c>
      <c r="E16" s="795"/>
    </row>
    <row r="17" spans="1:5" x14ac:dyDescent="0.45">
      <c r="A17" s="638" t="s">
        <v>464</v>
      </c>
      <c r="B17" s="638" t="s">
        <v>465</v>
      </c>
      <c r="C17" s="797"/>
      <c r="D17" s="798">
        <f>SUM(C17*'Emission Factors'!E176)/1000</f>
        <v>0</v>
      </c>
      <c r="E17" s="795"/>
    </row>
    <row r="18" spans="1:5" x14ac:dyDescent="0.45">
      <c r="A18" s="638" t="s">
        <v>466</v>
      </c>
      <c r="B18" s="638" t="s">
        <v>467</v>
      </c>
      <c r="C18" s="797"/>
      <c r="D18" s="798">
        <f>SUM(C18*'Emission Factors'!E177)/1000</f>
        <v>0</v>
      </c>
      <c r="E18" s="795"/>
    </row>
    <row r="19" spans="1:5" x14ac:dyDescent="0.45">
      <c r="A19" s="638" t="s">
        <v>468</v>
      </c>
      <c r="B19" s="638" t="s">
        <v>469</v>
      </c>
      <c r="C19" s="797"/>
      <c r="D19" s="798">
        <f>SUM(C19*'Emission Factors'!E178)/1000</f>
        <v>0</v>
      </c>
      <c r="E19" s="795"/>
    </row>
    <row r="20" spans="1:5" x14ac:dyDescent="0.45">
      <c r="A20" s="638" t="s">
        <v>470</v>
      </c>
      <c r="B20" s="638" t="s">
        <v>471</v>
      </c>
      <c r="C20" s="797"/>
      <c r="D20" s="798">
        <f>SUM(C20*'Emission Factors'!E179)/1000</f>
        <v>0</v>
      </c>
      <c r="E20" s="795"/>
    </row>
    <row r="21" spans="1:5" x14ac:dyDescent="0.45">
      <c r="A21" s="638" t="s">
        <v>472</v>
      </c>
      <c r="B21" s="638" t="s">
        <v>473</v>
      </c>
      <c r="C21" s="797"/>
      <c r="D21" s="798">
        <f>SUM(C21*'Emission Factors'!E180)/1000</f>
        <v>0</v>
      </c>
      <c r="E21" s="795"/>
    </row>
    <row r="22" spans="1:5" x14ac:dyDescent="0.45">
      <c r="A22" s="638" t="s">
        <v>474</v>
      </c>
      <c r="B22" s="638" t="s">
        <v>475</v>
      </c>
      <c r="C22" s="797"/>
      <c r="D22" s="798">
        <f>SUM(C22*'Emission Factors'!E181)/1000</f>
        <v>0</v>
      </c>
      <c r="E22" s="795"/>
    </row>
    <row r="23" spans="1:5" x14ac:dyDescent="0.45">
      <c r="A23" s="638" t="s">
        <v>476</v>
      </c>
      <c r="B23" s="638" t="s">
        <v>477</v>
      </c>
      <c r="C23" s="797"/>
      <c r="D23" s="798">
        <f>SUM(C23*'Emission Factors'!E182)/1000</f>
        <v>0</v>
      </c>
      <c r="E23" s="795"/>
    </row>
    <row r="24" spans="1:5" x14ac:dyDescent="0.45">
      <c r="A24" s="638" t="s">
        <v>478</v>
      </c>
      <c r="B24" s="638" t="s">
        <v>479</v>
      </c>
      <c r="C24" s="797"/>
      <c r="D24" s="798">
        <f>SUM(C24*'Emission Factors'!E183)/1000</f>
        <v>0</v>
      </c>
      <c r="E24" s="795"/>
    </row>
    <row r="25" spans="1:5" x14ac:dyDescent="0.45">
      <c r="A25" s="638" t="s">
        <v>480</v>
      </c>
      <c r="B25" s="638" t="s">
        <v>481</v>
      </c>
      <c r="C25" s="797"/>
      <c r="D25" s="798">
        <f>SUM(C25*'Emission Factors'!E184)/1000</f>
        <v>0</v>
      </c>
      <c r="E25" s="795"/>
    </row>
    <row r="26" spans="1:5" x14ac:dyDescent="0.45">
      <c r="A26" s="638" t="s">
        <v>482</v>
      </c>
      <c r="B26" s="638" t="s">
        <v>483</v>
      </c>
      <c r="C26" s="797"/>
      <c r="D26" s="798">
        <f>SUM(C26*'Emission Factors'!E185)/1000</f>
        <v>0</v>
      </c>
      <c r="E26" s="795"/>
    </row>
    <row r="27" spans="1:5" x14ac:dyDescent="0.45">
      <c r="A27" s="638" t="s">
        <v>484</v>
      </c>
      <c r="B27" s="638" t="s">
        <v>485</v>
      </c>
      <c r="C27" s="797"/>
      <c r="D27" s="798">
        <f>SUM(C27*'Emission Factors'!E186)/1000</f>
        <v>0</v>
      </c>
      <c r="E27" s="795"/>
    </row>
    <row r="28" spans="1:5" x14ac:dyDescent="0.45">
      <c r="A28" s="638" t="s">
        <v>486</v>
      </c>
      <c r="B28" s="638" t="s">
        <v>487</v>
      </c>
      <c r="C28" s="797"/>
      <c r="D28" s="798">
        <f>SUM(C28*'Emission Factors'!E187)/1000</f>
        <v>0</v>
      </c>
      <c r="E28" s="795"/>
    </row>
    <row r="29" spans="1:5" x14ac:dyDescent="0.45">
      <c r="A29" s="638" t="s">
        <v>488</v>
      </c>
      <c r="B29" s="638" t="s">
        <v>489</v>
      </c>
      <c r="C29" s="797"/>
      <c r="D29" s="798">
        <f>SUM(C29*'Emission Factors'!E188)/1000</f>
        <v>0</v>
      </c>
      <c r="E29" s="795"/>
    </row>
    <row r="30" spans="1:5" x14ac:dyDescent="0.45">
      <c r="A30" s="638" t="s">
        <v>490</v>
      </c>
      <c r="B30" s="638" t="s">
        <v>491</v>
      </c>
      <c r="C30" s="797"/>
      <c r="D30" s="798">
        <f>SUM(C30*'Emission Factors'!E189)/1000</f>
        <v>0</v>
      </c>
      <c r="E30" s="795"/>
    </row>
    <row r="31" spans="1:5" x14ac:dyDescent="0.45">
      <c r="A31" s="638" t="s">
        <v>492</v>
      </c>
      <c r="B31" s="638" t="s">
        <v>493</v>
      </c>
      <c r="C31" s="797"/>
      <c r="D31" s="798">
        <f>SUM(C31*'Emission Factors'!E190)/1000</f>
        <v>0</v>
      </c>
      <c r="E31" s="795"/>
    </row>
    <row r="32" spans="1:5" x14ac:dyDescent="0.45">
      <c r="A32" s="638" t="s">
        <v>494</v>
      </c>
      <c r="B32" s="638" t="s">
        <v>495</v>
      </c>
      <c r="C32" s="797"/>
      <c r="D32" s="798">
        <f>SUM(C32*'Emission Factors'!E191)/1000</f>
        <v>0</v>
      </c>
      <c r="E32" s="795"/>
    </row>
    <row r="33" spans="1:6" x14ac:dyDescent="0.45">
      <c r="A33" s="638" t="s">
        <v>496</v>
      </c>
      <c r="B33" s="638" t="s">
        <v>497</v>
      </c>
      <c r="C33" s="797"/>
      <c r="D33" s="798">
        <f>SUM(C33*'Emission Factors'!E192)/1000</f>
        <v>0</v>
      </c>
      <c r="E33" s="795"/>
    </row>
    <row r="34" spans="1:6" ht="19" thickBot="1" x14ac:dyDescent="0.5">
      <c r="A34" s="638" t="s">
        <v>498</v>
      </c>
      <c r="B34" s="638" t="s">
        <v>499</v>
      </c>
      <c r="C34" s="797"/>
      <c r="D34" s="801">
        <f>SUM(C34*'Emission Factors'!E193)/1000</f>
        <v>0</v>
      </c>
      <c r="E34" s="795"/>
    </row>
    <row r="35" spans="1:6" ht="19" thickBot="1" x14ac:dyDescent="0.5">
      <c r="A35" s="802" t="s">
        <v>500</v>
      </c>
      <c r="B35" s="803"/>
      <c r="C35" s="803"/>
      <c r="D35" s="803"/>
      <c r="E35" s="795"/>
      <c r="F35" s="795"/>
    </row>
    <row r="36" spans="1:6" x14ac:dyDescent="0.45">
      <c r="A36" s="638" t="s">
        <v>501</v>
      </c>
      <c r="B36" s="638" t="s">
        <v>502</v>
      </c>
      <c r="C36" s="797"/>
      <c r="D36" s="804">
        <f>SUM(C36*'Emission Factors'!D146)/1000</f>
        <v>0</v>
      </c>
      <c r="E36" s="795"/>
    </row>
    <row r="37" spans="1:6" x14ac:dyDescent="0.45">
      <c r="A37" s="638" t="s">
        <v>503</v>
      </c>
      <c r="B37" s="638" t="s">
        <v>504</v>
      </c>
      <c r="C37" s="797"/>
      <c r="D37" s="798">
        <f>SUM(C37*'Emission Factors'!D147)/1000</f>
        <v>0</v>
      </c>
      <c r="E37" s="795"/>
    </row>
    <row r="38" spans="1:6" x14ac:dyDescent="0.45">
      <c r="A38" s="638" t="s">
        <v>505</v>
      </c>
      <c r="B38" s="638" t="s">
        <v>506</v>
      </c>
      <c r="C38" s="797"/>
      <c r="D38" s="798">
        <f>SUM(C38*'Emission Factors'!D148)/1000</f>
        <v>0</v>
      </c>
      <c r="E38" s="795"/>
    </row>
    <row r="39" spans="1:6" x14ac:dyDescent="0.45">
      <c r="A39" s="638" t="s">
        <v>507</v>
      </c>
      <c r="B39" s="638" t="s">
        <v>508</v>
      </c>
      <c r="C39" s="797"/>
      <c r="D39" s="798">
        <f>SUM(C39*'Emission Factors'!D149)/1000</f>
        <v>0</v>
      </c>
      <c r="E39" s="795"/>
    </row>
    <row r="40" spans="1:6" x14ac:dyDescent="0.45">
      <c r="A40" s="638" t="s">
        <v>509</v>
      </c>
      <c r="B40" s="638" t="s">
        <v>510</v>
      </c>
      <c r="C40" s="797"/>
      <c r="D40" s="798">
        <f>SUM(C40*'Emission Factors'!D150)/1000</f>
        <v>0</v>
      </c>
      <c r="E40" s="795"/>
    </row>
    <row r="41" spans="1:6" x14ac:dyDescent="0.45">
      <c r="A41" s="638" t="s">
        <v>511</v>
      </c>
      <c r="B41" s="638" t="s">
        <v>512</v>
      </c>
      <c r="C41" s="797"/>
      <c r="D41" s="798">
        <f>SUM(C41*'Emission Factors'!D151)/1000</f>
        <v>0</v>
      </c>
      <c r="E41" s="795"/>
    </row>
    <row r="42" spans="1:6" x14ac:dyDescent="0.45">
      <c r="A42" s="638" t="s">
        <v>513</v>
      </c>
      <c r="B42" s="638" t="s">
        <v>514</v>
      </c>
      <c r="C42" s="797"/>
      <c r="D42" s="798">
        <f>SUM(C42*'Emission Factors'!D152)/1000</f>
        <v>0</v>
      </c>
      <c r="E42" s="795"/>
    </row>
    <row r="43" spans="1:6" x14ac:dyDescent="0.45">
      <c r="A43" s="638" t="s">
        <v>515</v>
      </c>
      <c r="B43" s="638" t="s">
        <v>516</v>
      </c>
      <c r="C43" s="797"/>
      <c r="D43" s="798">
        <f>SUM(C43*'Emission Factors'!D153)/1000</f>
        <v>0</v>
      </c>
      <c r="E43" s="795"/>
    </row>
    <row r="44" spans="1:6" x14ac:dyDescent="0.45">
      <c r="A44" s="638" t="s">
        <v>517</v>
      </c>
      <c r="B44" s="638" t="s">
        <v>518</v>
      </c>
      <c r="C44" s="797"/>
      <c r="D44" s="798">
        <f>SUM(C44*'Emission Factors'!D154)/1000</f>
        <v>0</v>
      </c>
      <c r="E44" s="795"/>
    </row>
    <row r="45" spans="1:6" x14ac:dyDescent="0.45">
      <c r="A45" s="638" t="s">
        <v>519</v>
      </c>
      <c r="B45" s="638" t="s">
        <v>520</v>
      </c>
      <c r="C45" s="797"/>
      <c r="D45" s="798">
        <f>SUM(C45*'Emission Factors'!D155)/1000</f>
        <v>0</v>
      </c>
      <c r="E45" s="795"/>
    </row>
    <row r="46" spans="1:6" x14ac:dyDescent="0.45">
      <c r="A46" s="638" t="s">
        <v>521</v>
      </c>
      <c r="B46" s="638" t="s">
        <v>522</v>
      </c>
      <c r="C46" s="797"/>
      <c r="D46" s="798">
        <f>SUM(C46*'Emission Factors'!D156)/1000</f>
        <v>0</v>
      </c>
      <c r="E46" s="795"/>
    </row>
    <row r="47" spans="1:6" x14ac:dyDescent="0.45">
      <c r="A47" s="638" t="s">
        <v>523</v>
      </c>
      <c r="B47" s="638" t="s">
        <v>524</v>
      </c>
      <c r="C47" s="797"/>
      <c r="D47" s="798">
        <f>SUM(C47*'Emission Factors'!D157)/1000</f>
        <v>0</v>
      </c>
      <c r="E47" s="795"/>
    </row>
    <row r="48" spans="1:6" x14ac:dyDescent="0.45">
      <c r="A48" s="638" t="s">
        <v>525</v>
      </c>
      <c r="B48" s="638" t="s">
        <v>526</v>
      </c>
      <c r="C48" s="797"/>
      <c r="D48" s="798">
        <f>SUM(C48*'Emission Factors'!D158)/1000</f>
        <v>0</v>
      </c>
      <c r="E48" s="795"/>
    </row>
    <row r="49" spans="1:7" x14ac:dyDescent="0.45">
      <c r="A49" s="638" t="s">
        <v>527</v>
      </c>
      <c r="B49" s="638" t="s">
        <v>528</v>
      </c>
      <c r="C49" s="797"/>
      <c r="D49" s="798">
        <f>SUM(C49*'Emission Factors'!D159)/1000</f>
        <v>0</v>
      </c>
      <c r="E49" s="795"/>
    </row>
    <row r="50" spans="1:7" ht="19" thickBot="1" x14ac:dyDescent="0.5">
      <c r="A50" s="638" t="s">
        <v>529</v>
      </c>
      <c r="B50" s="638" t="s">
        <v>530</v>
      </c>
      <c r="C50" s="797"/>
      <c r="D50" s="801">
        <f>SUM(C50*'Emission Factors'!D160)/1000</f>
        <v>0</v>
      </c>
      <c r="E50" s="795"/>
    </row>
    <row r="51" spans="1:7" ht="19" thickBot="1" x14ac:dyDescent="0.5">
      <c r="A51" s="802" t="s">
        <v>531</v>
      </c>
      <c r="B51" s="803"/>
      <c r="C51" s="803"/>
      <c r="D51" s="803"/>
      <c r="E51" s="795"/>
      <c r="F51" s="795"/>
    </row>
    <row r="52" spans="1:7" ht="37" x14ac:dyDescent="0.45">
      <c r="A52" s="638" t="s">
        <v>532</v>
      </c>
      <c r="B52" s="638" t="s">
        <v>533</v>
      </c>
      <c r="C52" s="797"/>
      <c r="D52" s="804">
        <f>SUM(C52*'Emission Factors'!D162)/1000</f>
        <v>0</v>
      </c>
      <c r="E52" s="795"/>
    </row>
    <row r="53" spans="1:7" ht="37" x14ac:dyDescent="0.45">
      <c r="A53" s="638" t="s">
        <v>534</v>
      </c>
      <c r="B53" s="638" t="s">
        <v>535</v>
      </c>
      <c r="C53" s="797"/>
      <c r="D53" s="798">
        <f>SUM(C53*'Emission Factors'!D163)/1000</f>
        <v>0</v>
      </c>
      <c r="E53" s="795"/>
    </row>
    <row r="54" spans="1:7" ht="39.65" customHeight="1" x14ac:dyDescent="0.45">
      <c r="A54" s="638" t="s">
        <v>536</v>
      </c>
      <c r="B54" s="638" t="s">
        <v>537</v>
      </c>
      <c r="C54" s="797"/>
      <c r="D54" s="798">
        <f>SUM(C54*'Emission Factors'!D164)/1000</f>
        <v>0</v>
      </c>
      <c r="E54" s="795"/>
    </row>
    <row r="55" spans="1:7" ht="39.65" customHeight="1" x14ac:dyDescent="0.45">
      <c r="A55" s="638" t="s">
        <v>538</v>
      </c>
      <c r="B55" s="638" t="s">
        <v>539</v>
      </c>
      <c r="C55" s="797"/>
      <c r="D55" s="798">
        <f>SUM(C55*'Emission Factors'!D165)/1000</f>
        <v>0</v>
      </c>
      <c r="E55" s="795"/>
    </row>
    <row r="56" spans="1:7" x14ac:dyDescent="0.45">
      <c r="A56" s="638" t="s">
        <v>540</v>
      </c>
      <c r="B56" s="638" t="s">
        <v>541</v>
      </c>
      <c r="C56" s="797"/>
      <c r="D56" s="798">
        <f>SUM(C56*'Emission Factors'!D166)/1000</f>
        <v>0</v>
      </c>
      <c r="E56" s="795"/>
    </row>
    <row r="57" spans="1:7" x14ac:dyDescent="0.45">
      <c r="A57" s="638" t="s">
        <v>542</v>
      </c>
      <c r="B57" s="638" t="s">
        <v>543</v>
      </c>
      <c r="C57" s="797"/>
      <c r="D57" s="798">
        <f>SUM(C57*'Emission Factors'!D167)/1000</f>
        <v>0</v>
      </c>
      <c r="E57" s="795"/>
    </row>
    <row r="58" spans="1:7" ht="19" thickBot="1" x14ac:dyDescent="0.5">
      <c r="A58" s="638" t="s">
        <v>544</v>
      </c>
      <c r="B58" s="638" t="s">
        <v>545</v>
      </c>
      <c r="C58" s="805"/>
      <c r="D58" s="806">
        <f>SUM(C58*'Emission Factors'!D168)/1000</f>
        <v>0</v>
      </c>
      <c r="E58" s="795"/>
    </row>
    <row r="59" spans="1:7" ht="24" thickBot="1" x14ac:dyDescent="0.5">
      <c r="C59" s="808" t="s">
        <v>1699</v>
      </c>
      <c r="D59" s="809">
        <f>SUM(D52:D58,D36:D50,D11:D14,D16:D34)</f>
        <v>0</v>
      </c>
      <c r="E59" s="795"/>
      <c r="F59" s="795"/>
    </row>
    <row r="60" spans="1:7" x14ac:dyDescent="0.45">
      <c r="F60" s="795"/>
      <c r="G60" s="795"/>
    </row>
  </sheetData>
  <sheetProtection sheet="1" objects="1" scenarios="1"/>
  <mergeCells count="7">
    <mergeCell ref="I1:N1"/>
    <mergeCell ref="B1:F1"/>
    <mergeCell ref="A3:B3"/>
    <mergeCell ref="F8:I8"/>
    <mergeCell ref="G9:I9"/>
    <mergeCell ref="B9:D9"/>
    <mergeCell ref="A8:D8"/>
  </mergeCells>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0192-C538-4B94-BF22-CE32321D1EDD}">
  <sheetPr>
    <tabColor rgb="FFFF9900"/>
  </sheetPr>
  <dimension ref="A1:R41"/>
  <sheetViews>
    <sheetView zoomScale="60" zoomScaleNormal="60" workbookViewId="0">
      <selection activeCell="A11" sqref="A11"/>
    </sheetView>
  </sheetViews>
  <sheetFormatPr baseColWidth="10" defaultColWidth="9.1796875" defaultRowHeight="18.5" x14ac:dyDescent="0.45"/>
  <cols>
    <col min="1" max="1" width="20.1796875" style="668" customWidth="1"/>
    <col min="2" max="2" width="24.26953125" style="668" bestFit="1" customWidth="1"/>
    <col min="3" max="3" width="21.81640625" style="668" customWidth="1"/>
    <col min="4" max="5" width="29" style="668" bestFit="1" customWidth="1"/>
    <col min="6" max="6" width="24.1796875" style="668" bestFit="1" customWidth="1"/>
    <col min="7" max="7" width="19.1796875" style="668" bestFit="1" customWidth="1"/>
    <col min="8" max="8" width="24.81640625" style="668" bestFit="1" customWidth="1"/>
    <col min="9" max="9" width="21.54296875" style="668" bestFit="1" customWidth="1"/>
    <col min="10" max="10" width="29" style="668" bestFit="1" customWidth="1"/>
    <col min="11" max="11" width="19.1796875" style="668" bestFit="1" customWidth="1"/>
    <col min="12" max="12" width="29" style="668" bestFit="1" customWidth="1"/>
    <col min="13" max="13" width="19.1796875" style="668" bestFit="1" customWidth="1"/>
    <col min="14" max="14" width="21.54296875" style="668" bestFit="1" customWidth="1"/>
    <col min="15" max="15" width="22.453125" style="668" bestFit="1" customWidth="1"/>
    <col min="16" max="16" width="14.54296875" style="668" bestFit="1" customWidth="1"/>
    <col min="17" max="17" width="21.54296875" style="668" bestFit="1" customWidth="1"/>
    <col min="18" max="18" width="19.1796875" style="668" bestFit="1" customWidth="1"/>
    <col min="19" max="16384" width="9.1796875" style="668"/>
  </cols>
  <sheetData>
    <row r="1" spans="1:18" ht="52.5" customHeight="1" thickBot="1" x14ac:dyDescent="0.5">
      <c r="A1" s="747" t="s">
        <v>59</v>
      </c>
      <c r="B1" s="1512" t="s">
        <v>546</v>
      </c>
      <c r="C1" s="1492"/>
      <c r="D1" s="1492"/>
      <c r="E1" s="1493"/>
      <c r="J1" s="1514" t="s">
        <v>318</v>
      </c>
      <c r="K1" s="1515"/>
      <c r="L1" s="1515"/>
      <c r="M1" s="1515"/>
      <c r="N1" s="1515"/>
      <c r="O1" s="1516"/>
    </row>
    <row r="2" spans="1:18" x14ac:dyDescent="0.45">
      <c r="J2" s="788" t="s">
        <v>319</v>
      </c>
      <c r="K2" s="789"/>
      <c r="L2" s="790" t="s">
        <v>320</v>
      </c>
      <c r="M2" s="791"/>
      <c r="N2" s="790" t="s">
        <v>321</v>
      </c>
      <c r="O2" s="792"/>
    </row>
    <row r="3" spans="1:18" x14ac:dyDescent="0.45">
      <c r="B3" s="615" t="s">
        <v>1839</v>
      </c>
      <c r="C3" s="615" t="s">
        <v>39</v>
      </c>
    </row>
    <row r="4" spans="1:18" ht="37" x14ac:dyDescent="0.45">
      <c r="A4" s="810"/>
      <c r="B4" s="615" t="s">
        <v>1825</v>
      </c>
      <c r="C4" s="615" t="s">
        <v>1840</v>
      </c>
    </row>
    <row r="5" spans="1:18" ht="37" x14ac:dyDescent="0.45">
      <c r="A5" s="615" t="s">
        <v>547</v>
      </c>
      <c r="B5" s="811">
        <f>SUM(L23,G40)</f>
        <v>0</v>
      </c>
      <c r="C5" s="811">
        <f>SUM(M23,H40)</f>
        <v>0</v>
      </c>
    </row>
    <row r="7" spans="1:18" s="664" customFormat="1" ht="36" x14ac:dyDescent="0.8">
      <c r="A7" s="1463" t="s">
        <v>548</v>
      </c>
      <c r="B7" s="1464"/>
      <c r="C7" s="1464"/>
      <c r="D7" s="1464"/>
      <c r="E7" s="1464"/>
      <c r="F7" s="1464"/>
      <c r="G7" s="1464"/>
      <c r="H7" s="1464"/>
      <c r="I7" s="1464"/>
      <c r="J7" s="1464"/>
      <c r="K7" s="1464"/>
      <c r="L7" s="1464"/>
      <c r="M7" s="1464"/>
      <c r="N7" s="1464"/>
      <c r="O7" s="1464"/>
      <c r="P7" s="1464"/>
      <c r="Q7" s="1464"/>
      <c r="R7" s="1464"/>
    </row>
    <row r="8" spans="1:18" ht="19" thickBot="1" x14ac:dyDescent="0.5"/>
    <row r="9" spans="1:18" ht="23.5" x14ac:dyDescent="0.55000000000000004">
      <c r="A9" s="667"/>
      <c r="B9" s="667"/>
      <c r="C9" s="667"/>
      <c r="D9" s="667"/>
      <c r="E9" s="1477" t="s">
        <v>330</v>
      </c>
      <c r="F9" s="1478"/>
      <c r="G9" s="667"/>
      <c r="H9" s="667"/>
      <c r="I9" s="667"/>
      <c r="J9" s="667"/>
      <c r="K9" s="667"/>
      <c r="L9" s="812" t="s">
        <v>1839</v>
      </c>
      <c r="M9" s="813" t="s">
        <v>39</v>
      </c>
      <c r="N9" s="814"/>
      <c r="O9" s="667"/>
      <c r="Q9" s="814"/>
    </row>
    <row r="10" spans="1:18" ht="55.5" x14ac:dyDescent="0.45">
      <c r="A10" s="815" t="s">
        <v>331</v>
      </c>
      <c r="B10" s="815" t="s">
        <v>549</v>
      </c>
      <c r="C10" s="815" t="s">
        <v>550</v>
      </c>
      <c r="D10" s="815" t="s">
        <v>551</v>
      </c>
      <c r="E10" s="815" t="s">
        <v>552</v>
      </c>
      <c r="F10" s="815" t="s">
        <v>553</v>
      </c>
      <c r="G10" s="815" t="s">
        <v>1722</v>
      </c>
      <c r="H10" s="816" t="s">
        <v>334</v>
      </c>
      <c r="I10" s="615" t="s">
        <v>1825</v>
      </c>
      <c r="J10" s="615" t="s">
        <v>1826</v>
      </c>
      <c r="K10" s="765" t="s">
        <v>1827</v>
      </c>
      <c r="L10" s="769" t="s">
        <v>1841</v>
      </c>
      <c r="M10" s="771" t="s">
        <v>1838</v>
      </c>
    </row>
    <row r="11" spans="1:18" x14ac:dyDescent="0.45">
      <c r="A11" s="817"/>
      <c r="B11" s="817"/>
      <c r="C11" s="817"/>
      <c r="D11" s="818">
        <f>B11*2.47105</f>
        <v>0</v>
      </c>
      <c r="E11" s="818">
        <f>C11*2.47105</f>
        <v>0</v>
      </c>
      <c r="F11" s="819">
        <v>7</v>
      </c>
      <c r="G11" s="818">
        <f>((E11*F11)/2000)*0.907185*D11</f>
        <v>0</v>
      </c>
      <c r="H11" s="820">
        <f>G11*'Emission Factors'!$B$263</f>
        <v>0</v>
      </c>
      <c r="I11" s="677">
        <f>H11*'Emission Factors'!$C$263*0.001</f>
        <v>0</v>
      </c>
      <c r="J11" s="677">
        <f>H11*'Emission Factors'!$D$263*0.001</f>
        <v>0</v>
      </c>
      <c r="K11" s="821">
        <f>H11*'Emission Factors'!$E$263*0.001</f>
        <v>0</v>
      </c>
      <c r="L11" s="678">
        <f>I11</f>
        <v>0</v>
      </c>
      <c r="M11" s="724">
        <f>SUM(J11:K11)</f>
        <v>0</v>
      </c>
    </row>
    <row r="12" spans="1:18" x14ac:dyDescent="0.45">
      <c r="A12" s="817"/>
      <c r="B12" s="817"/>
      <c r="C12" s="817"/>
      <c r="D12" s="818">
        <f t="shared" ref="D12:D22" si="0">B12*2.47105</f>
        <v>0</v>
      </c>
      <c r="E12" s="818">
        <f t="shared" ref="E12:E22" si="1">C12*2.47105</f>
        <v>0</v>
      </c>
      <c r="F12" s="819">
        <v>7</v>
      </c>
      <c r="G12" s="818">
        <f t="shared" ref="G12:G22" si="2">((E12*F12)/2000)*0.907185*D12</f>
        <v>0</v>
      </c>
      <c r="H12" s="820">
        <f>G12*'Emission Factors'!$B$263</f>
        <v>0</v>
      </c>
      <c r="I12" s="677">
        <f>H12*'Emission Factors'!$C$263*0.001</f>
        <v>0</v>
      </c>
      <c r="J12" s="677">
        <f>H12*'Emission Factors'!$D$263*0.001</f>
        <v>0</v>
      </c>
      <c r="K12" s="821">
        <f>H12*'Emission Factors'!$E$263*0.001</f>
        <v>0</v>
      </c>
      <c r="L12" s="678">
        <f t="shared" ref="L12:L22" si="3">I12</f>
        <v>0</v>
      </c>
      <c r="M12" s="724">
        <f t="shared" ref="M12:M22" si="4">SUM(J12:K12)</f>
        <v>0</v>
      </c>
    </row>
    <row r="13" spans="1:18" x14ac:dyDescent="0.45">
      <c r="A13" s="817"/>
      <c r="B13" s="817"/>
      <c r="C13" s="817"/>
      <c r="D13" s="818">
        <f t="shared" si="0"/>
        <v>0</v>
      </c>
      <c r="E13" s="818">
        <f t="shared" si="1"/>
        <v>0</v>
      </c>
      <c r="F13" s="819">
        <v>7</v>
      </c>
      <c r="G13" s="818">
        <f t="shared" si="2"/>
        <v>0</v>
      </c>
      <c r="H13" s="820">
        <f>G13*'Emission Factors'!$B$263</f>
        <v>0</v>
      </c>
      <c r="I13" s="677">
        <f>H13*'Emission Factors'!$C$263*0.001</f>
        <v>0</v>
      </c>
      <c r="J13" s="677">
        <f>H13*'Emission Factors'!$D$263*0.001</f>
        <v>0</v>
      </c>
      <c r="K13" s="821">
        <f>H13*'Emission Factors'!$E$263*0.001</f>
        <v>0</v>
      </c>
      <c r="L13" s="678">
        <f t="shared" si="3"/>
        <v>0</v>
      </c>
      <c r="M13" s="724">
        <f t="shared" si="4"/>
        <v>0</v>
      </c>
    </row>
    <row r="14" spans="1:18" x14ac:dyDescent="0.45">
      <c r="A14" s="817"/>
      <c r="B14" s="817"/>
      <c r="C14" s="817"/>
      <c r="D14" s="818">
        <f t="shared" si="0"/>
        <v>0</v>
      </c>
      <c r="E14" s="818">
        <f t="shared" si="1"/>
        <v>0</v>
      </c>
      <c r="F14" s="819">
        <v>7</v>
      </c>
      <c r="G14" s="818">
        <f t="shared" si="2"/>
        <v>0</v>
      </c>
      <c r="H14" s="820">
        <f>G14*'Emission Factors'!$B$263</f>
        <v>0</v>
      </c>
      <c r="I14" s="677">
        <f>H14*'Emission Factors'!$C$263*0.001</f>
        <v>0</v>
      </c>
      <c r="J14" s="677">
        <f>H14*'Emission Factors'!$D$263*0.001</f>
        <v>0</v>
      </c>
      <c r="K14" s="821">
        <f>H14*'Emission Factors'!$E$263*0.001</f>
        <v>0</v>
      </c>
      <c r="L14" s="678">
        <f t="shared" si="3"/>
        <v>0</v>
      </c>
      <c r="M14" s="724">
        <f t="shared" si="4"/>
        <v>0</v>
      </c>
    </row>
    <row r="15" spans="1:18" x14ac:dyDescent="0.45">
      <c r="A15" s="817"/>
      <c r="B15" s="817"/>
      <c r="C15" s="817"/>
      <c r="D15" s="818">
        <f t="shared" si="0"/>
        <v>0</v>
      </c>
      <c r="E15" s="818">
        <f t="shared" si="1"/>
        <v>0</v>
      </c>
      <c r="F15" s="819">
        <v>7</v>
      </c>
      <c r="G15" s="818">
        <f t="shared" si="2"/>
        <v>0</v>
      </c>
      <c r="H15" s="820">
        <f>G15*'Emission Factors'!$B$263</f>
        <v>0</v>
      </c>
      <c r="I15" s="677">
        <f>H15*'Emission Factors'!$C$263*0.001</f>
        <v>0</v>
      </c>
      <c r="J15" s="677">
        <f>H15*'Emission Factors'!$D$263*0.001</f>
        <v>0</v>
      </c>
      <c r="K15" s="821">
        <f>H15*'Emission Factors'!$E$263*0.001</f>
        <v>0</v>
      </c>
      <c r="L15" s="678">
        <f t="shared" si="3"/>
        <v>0</v>
      </c>
      <c r="M15" s="724">
        <f t="shared" si="4"/>
        <v>0</v>
      </c>
    </row>
    <row r="16" spans="1:18" x14ac:dyDescent="0.45">
      <c r="A16" s="817"/>
      <c r="B16" s="817"/>
      <c r="C16" s="817"/>
      <c r="D16" s="818">
        <f t="shared" si="0"/>
        <v>0</v>
      </c>
      <c r="E16" s="818">
        <f t="shared" si="1"/>
        <v>0</v>
      </c>
      <c r="F16" s="819">
        <v>7</v>
      </c>
      <c r="G16" s="818">
        <f t="shared" si="2"/>
        <v>0</v>
      </c>
      <c r="H16" s="820">
        <f>G16*'Emission Factors'!$B$263</f>
        <v>0</v>
      </c>
      <c r="I16" s="677">
        <f>H16*'Emission Factors'!$C$263*0.001</f>
        <v>0</v>
      </c>
      <c r="J16" s="677">
        <f>H16*'Emission Factors'!$D$263*0.001</f>
        <v>0</v>
      </c>
      <c r="K16" s="821">
        <f>H16*'Emission Factors'!$E$263*0.001</f>
        <v>0</v>
      </c>
      <c r="L16" s="678">
        <f t="shared" si="3"/>
        <v>0</v>
      </c>
      <c r="M16" s="724">
        <f t="shared" si="4"/>
        <v>0</v>
      </c>
    </row>
    <row r="17" spans="1:18" x14ac:dyDescent="0.45">
      <c r="A17" s="817"/>
      <c r="B17" s="817"/>
      <c r="C17" s="817"/>
      <c r="D17" s="818">
        <f t="shared" si="0"/>
        <v>0</v>
      </c>
      <c r="E17" s="818">
        <f t="shared" si="1"/>
        <v>0</v>
      </c>
      <c r="F17" s="819">
        <v>7</v>
      </c>
      <c r="G17" s="818">
        <f t="shared" si="2"/>
        <v>0</v>
      </c>
      <c r="H17" s="820">
        <f>G17*'Emission Factors'!$B$263</f>
        <v>0</v>
      </c>
      <c r="I17" s="677">
        <f>H17*'Emission Factors'!$C$263*0.001</f>
        <v>0</v>
      </c>
      <c r="J17" s="677">
        <f>H17*'Emission Factors'!$D$263*0.001</f>
        <v>0</v>
      </c>
      <c r="K17" s="821">
        <f>H17*'Emission Factors'!$E$263*0.001</f>
        <v>0</v>
      </c>
      <c r="L17" s="678">
        <f t="shared" si="3"/>
        <v>0</v>
      </c>
      <c r="M17" s="724">
        <f t="shared" si="4"/>
        <v>0</v>
      </c>
    </row>
    <row r="18" spans="1:18" x14ac:dyDescent="0.45">
      <c r="A18" s="817"/>
      <c r="B18" s="817"/>
      <c r="C18" s="817"/>
      <c r="D18" s="818">
        <f t="shared" si="0"/>
        <v>0</v>
      </c>
      <c r="E18" s="818">
        <f t="shared" si="1"/>
        <v>0</v>
      </c>
      <c r="F18" s="819">
        <v>7</v>
      </c>
      <c r="G18" s="818">
        <f t="shared" si="2"/>
        <v>0</v>
      </c>
      <c r="H18" s="820">
        <f>G18*'Emission Factors'!$B$263</f>
        <v>0</v>
      </c>
      <c r="I18" s="677">
        <f>H18*'Emission Factors'!$C$263*0.001</f>
        <v>0</v>
      </c>
      <c r="J18" s="677">
        <f>H18*'Emission Factors'!$D$263*0.001</f>
        <v>0</v>
      </c>
      <c r="K18" s="821">
        <f>H18*'Emission Factors'!$E$263*0.001</f>
        <v>0</v>
      </c>
      <c r="L18" s="678">
        <f t="shared" si="3"/>
        <v>0</v>
      </c>
      <c r="M18" s="724">
        <f t="shared" si="4"/>
        <v>0</v>
      </c>
    </row>
    <row r="19" spans="1:18" x14ac:dyDescent="0.45">
      <c r="A19" s="817"/>
      <c r="B19" s="817"/>
      <c r="C19" s="817"/>
      <c r="D19" s="818">
        <f t="shared" si="0"/>
        <v>0</v>
      </c>
      <c r="E19" s="818">
        <f t="shared" si="1"/>
        <v>0</v>
      </c>
      <c r="F19" s="819">
        <v>7</v>
      </c>
      <c r="G19" s="818">
        <f t="shared" si="2"/>
        <v>0</v>
      </c>
      <c r="H19" s="820">
        <f>G19*'Emission Factors'!$B$263</f>
        <v>0</v>
      </c>
      <c r="I19" s="677">
        <f>H19*'Emission Factors'!$C$263*0.001</f>
        <v>0</v>
      </c>
      <c r="J19" s="677">
        <f>H19*'Emission Factors'!$D$263*0.001</f>
        <v>0</v>
      </c>
      <c r="K19" s="821">
        <f>H19*'Emission Factors'!$E$263*0.001</f>
        <v>0</v>
      </c>
      <c r="L19" s="678">
        <f t="shared" si="3"/>
        <v>0</v>
      </c>
      <c r="M19" s="724">
        <f t="shared" si="4"/>
        <v>0</v>
      </c>
    </row>
    <row r="20" spans="1:18" x14ac:dyDescent="0.45">
      <c r="A20" s="817"/>
      <c r="B20" s="817"/>
      <c r="C20" s="817"/>
      <c r="D20" s="818">
        <f t="shared" si="0"/>
        <v>0</v>
      </c>
      <c r="E20" s="818">
        <f t="shared" si="1"/>
        <v>0</v>
      </c>
      <c r="F20" s="819">
        <v>7</v>
      </c>
      <c r="G20" s="818">
        <f t="shared" si="2"/>
        <v>0</v>
      </c>
      <c r="H20" s="820">
        <f>G20*'Emission Factors'!$B$263</f>
        <v>0</v>
      </c>
      <c r="I20" s="677">
        <f>H20*'Emission Factors'!$C$263*0.001</f>
        <v>0</v>
      </c>
      <c r="J20" s="677">
        <f>H20*'Emission Factors'!$D$263*0.001</f>
        <v>0</v>
      </c>
      <c r="K20" s="821">
        <f>H20*'Emission Factors'!$E$263*0.001</f>
        <v>0</v>
      </c>
      <c r="L20" s="678">
        <f t="shared" si="3"/>
        <v>0</v>
      </c>
      <c r="M20" s="724">
        <f t="shared" si="4"/>
        <v>0</v>
      </c>
    </row>
    <row r="21" spans="1:18" x14ac:dyDescent="0.45">
      <c r="A21" s="817"/>
      <c r="B21" s="817"/>
      <c r="C21" s="817"/>
      <c r="D21" s="818">
        <f t="shared" si="0"/>
        <v>0</v>
      </c>
      <c r="E21" s="818">
        <f t="shared" si="1"/>
        <v>0</v>
      </c>
      <c r="F21" s="819">
        <v>7</v>
      </c>
      <c r="G21" s="818">
        <f t="shared" si="2"/>
        <v>0</v>
      </c>
      <c r="H21" s="820">
        <f>G21*'Emission Factors'!$B$263</f>
        <v>0</v>
      </c>
      <c r="I21" s="677">
        <f>H21*'Emission Factors'!$C$263*0.001</f>
        <v>0</v>
      </c>
      <c r="J21" s="677">
        <f>H21*'Emission Factors'!$D$263*0.001</f>
        <v>0</v>
      </c>
      <c r="K21" s="821">
        <f>H21*'Emission Factors'!$E$263*0.001</f>
        <v>0</v>
      </c>
      <c r="L21" s="678">
        <f t="shared" si="3"/>
        <v>0</v>
      </c>
      <c r="M21" s="724">
        <f t="shared" si="4"/>
        <v>0</v>
      </c>
    </row>
    <row r="22" spans="1:18" ht="19" thickBot="1" x14ac:dyDescent="0.5">
      <c r="A22" s="817"/>
      <c r="B22" s="817"/>
      <c r="C22" s="817"/>
      <c r="D22" s="818">
        <f t="shared" si="0"/>
        <v>0</v>
      </c>
      <c r="E22" s="818">
        <f t="shared" si="1"/>
        <v>0</v>
      </c>
      <c r="F22" s="819">
        <v>7</v>
      </c>
      <c r="G22" s="818">
        <f t="shared" si="2"/>
        <v>0</v>
      </c>
      <c r="H22" s="820">
        <f>G22*'Emission Factors'!$B$263</f>
        <v>0</v>
      </c>
      <c r="I22" s="677">
        <f>H22*'Emission Factors'!$C$263*0.001</f>
        <v>0</v>
      </c>
      <c r="J22" s="677">
        <f>H22*'Emission Factors'!$D$263*0.001</f>
        <v>0</v>
      </c>
      <c r="K22" s="822">
        <f>H22*'Emission Factors'!$E$263*0.001</f>
        <v>0</v>
      </c>
      <c r="L22" s="680">
        <f t="shared" si="3"/>
        <v>0</v>
      </c>
      <c r="M22" s="823">
        <f t="shared" si="4"/>
        <v>0</v>
      </c>
    </row>
    <row r="23" spans="1:18" ht="19" thickBot="1" x14ac:dyDescent="0.5">
      <c r="A23" s="824" t="s">
        <v>554</v>
      </c>
      <c r="K23" s="684" t="s">
        <v>327</v>
      </c>
      <c r="L23" s="685">
        <f>SUM(L11:L22)</f>
        <v>0</v>
      </c>
      <c r="M23" s="686">
        <f>SUM(M11:M22)</f>
        <v>0</v>
      </c>
    </row>
    <row r="25" spans="1:18" s="664" customFormat="1" ht="36.5" thickBot="1" x14ac:dyDescent="0.85">
      <c r="A25" s="1463" t="s">
        <v>555</v>
      </c>
      <c r="B25" s="1464"/>
      <c r="C25" s="1464"/>
      <c r="D25" s="1464"/>
      <c r="E25" s="1464"/>
      <c r="F25" s="1464"/>
      <c r="G25" s="1464"/>
      <c r="H25" s="1464"/>
      <c r="I25" s="1464"/>
      <c r="J25" s="1464"/>
      <c r="K25" s="1464"/>
      <c r="L25" s="1464"/>
      <c r="M25" s="1464"/>
      <c r="N25" s="1464"/>
      <c r="O25" s="1464"/>
      <c r="P25" s="1464"/>
      <c r="Q25" s="1464"/>
      <c r="R25" s="1464"/>
    </row>
    <row r="26" spans="1:18" s="667" customFormat="1" ht="37" x14ac:dyDescent="0.55000000000000004">
      <c r="E26" s="1477" t="s">
        <v>330</v>
      </c>
      <c r="F26" s="1478"/>
      <c r="G26" s="812" t="s">
        <v>1839</v>
      </c>
      <c r="H26" s="813" t="s">
        <v>39</v>
      </c>
      <c r="I26" s="814"/>
      <c r="L26" s="814"/>
    </row>
    <row r="27" spans="1:18" s="689" customFormat="1" ht="37" x14ac:dyDescent="0.35">
      <c r="A27" s="815" t="s">
        <v>556</v>
      </c>
      <c r="B27" s="815" t="s">
        <v>1842</v>
      </c>
      <c r="C27" s="816" t="s">
        <v>334</v>
      </c>
      <c r="D27" s="615" t="s">
        <v>1825</v>
      </c>
      <c r="E27" s="615" t="s">
        <v>1826</v>
      </c>
      <c r="F27" s="615" t="s">
        <v>1827</v>
      </c>
      <c r="G27" s="769" t="s">
        <v>1841</v>
      </c>
      <c r="H27" s="771" t="s">
        <v>1838</v>
      </c>
    </row>
    <row r="28" spans="1:18" s="689" customFormat="1" ht="15.5" x14ac:dyDescent="0.35">
      <c r="A28" s="817"/>
      <c r="B28" s="825">
        <f>A28*0.001</f>
        <v>0</v>
      </c>
      <c r="C28" s="820">
        <f>B28*'Emission Factors'!$B$263</f>
        <v>0</v>
      </c>
      <c r="D28" s="677">
        <f>C28*'Emission Factors'!$C$263*0.001</f>
        <v>0</v>
      </c>
      <c r="E28" s="677">
        <f>C28*'Emission Factors'!$D$263*0.001</f>
        <v>0</v>
      </c>
      <c r="F28" s="677">
        <f>C28*'Emission Factors'!$E$263*0.001</f>
        <v>0</v>
      </c>
      <c r="G28" s="678">
        <f>D28</f>
        <v>0</v>
      </c>
      <c r="H28" s="724">
        <f>SUM(E28:F28)</f>
        <v>0</v>
      </c>
    </row>
    <row r="29" spans="1:18" s="689" customFormat="1" ht="15.5" x14ac:dyDescent="0.35">
      <c r="A29" s="817"/>
      <c r="B29" s="825">
        <f t="shared" ref="B29:B39" si="5">A29*0.001</f>
        <v>0</v>
      </c>
      <c r="C29" s="820">
        <f>B29*'Emission Factors'!$B$263</f>
        <v>0</v>
      </c>
      <c r="D29" s="677">
        <f>C29*'Emission Factors'!$C$263*0.001</f>
        <v>0</v>
      </c>
      <c r="E29" s="677">
        <f>C29*'Emission Factors'!$D$263*0.001</f>
        <v>0</v>
      </c>
      <c r="F29" s="677">
        <f>C29*'Emission Factors'!$E$263*0.001</f>
        <v>0</v>
      </c>
      <c r="G29" s="678">
        <f t="shared" ref="G29:G39" si="6">D29</f>
        <v>0</v>
      </c>
      <c r="H29" s="724">
        <f t="shared" ref="H29:H39" si="7">SUM(E29:F29)</f>
        <v>0</v>
      </c>
    </row>
    <row r="30" spans="1:18" s="689" customFormat="1" ht="15.5" x14ac:dyDescent="0.35">
      <c r="A30" s="817"/>
      <c r="B30" s="825">
        <f t="shared" si="5"/>
        <v>0</v>
      </c>
      <c r="C30" s="820">
        <f>B30*'Emission Factors'!$B$263</f>
        <v>0</v>
      </c>
      <c r="D30" s="677">
        <f>C30*'Emission Factors'!$C$263*0.001</f>
        <v>0</v>
      </c>
      <c r="E30" s="677">
        <f>C30*'Emission Factors'!$D$263*0.001</f>
        <v>0</v>
      </c>
      <c r="F30" s="677">
        <f>C30*'Emission Factors'!$E$263*0.001</f>
        <v>0</v>
      </c>
      <c r="G30" s="678">
        <f t="shared" si="6"/>
        <v>0</v>
      </c>
      <c r="H30" s="724">
        <f t="shared" si="7"/>
        <v>0</v>
      </c>
    </row>
    <row r="31" spans="1:18" s="689" customFormat="1" ht="15.5" x14ac:dyDescent="0.35">
      <c r="A31" s="817"/>
      <c r="B31" s="825">
        <f t="shared" si="5"/>
        <v>0</v>
      </c>
      <c r="C31" s="820">
        <f>B31*'Emission Factors'!$B$263</f>
        <v>0</v>
      </c>
      <c r="D31" s="677">
        <f>C31*'Emission Factors'!$C$263*0.001</f>
        <v>0</v>
      </c>
      <c r="E31" s="677">
        <f>C31*'Emission Factors'!$D$263*0.001</f>
        <v>0</v>
      </c>
      <c r="F31" s="677">
        <f>C31*'Emission Factors'!$E$263*0.001</f>
        <v>0</v>
      </c>
      <c r="G31" s="678">
        <f t="shared" si="6"/>
        <v>0</v>
      </c>
      <c r="H31" s="724">
        <f t="shared" si="7"/>
        <v>0</v>
      </c>
    </row>
    <row r="32" spans="1:18" s="689" customFormat="1" ht="15.5" x14ac:dyDescent="0.35">
      <c r="A32" s="817"/>
      <c r="B32" s="825">
        <f t="shared" si="5"/>
        <v>0</v>
      </c>
      <c r="C32" s="820">
        <f>B32*'Emission Factors'!$B$263</f>
        <v>0</v>
      </c>
      <c r="D32" s="677">
        <f>C32*'Emission Factors'!$C$263*0.001</f>
        <v>0</v>
      </c>
      <c r="E32" s="677">
        <f>C32*'Emission Factors'!$D$263*0.001</f>
        <v>0</v>
      </c>
      <c r="F32" s="677">
        <f>C32*'Emission Factors'!$E$263*0.001</f>
        <v>0</v>
      </c>
      <c r="G32" s="678">
        <f t="shared" si="6"/>
        <v>0</v>
      </c>
      <c r="H32" s="724">
        <f t="shared" si="7"/>
        <v>0</v>
      </c>
    </row>
    <row r="33" spans="1:8" s="689" customFormat="1" ht="15.5" x14ac:dyDescent="0.35">
      <c r="A33" s="817"/>
      <c r="B33" s="825">
        <f t="shared" si="5"/>
        <v>0</v>
      </c>
      <c r="C33" s="820">
        <f>B33*'Emission Factors'!$B$263</f>
        <v>0</v>
      </c>
      <c r="D33" s="677">
        <f>C33*'Emission Factors'!$C$263*0.001</f>
        <v>0</v>
      </c>
      <c r="E33" s="677">
        <f>C33*'Emission Factors'!$D$263*0.001</f>
        <v>0</v>
      </c>
      <c r="F33" s="677">
        <f>C33*'Emission Factors'!$E$263*0.001</f>
        <v>0</v>
      </c>
      <c r="G33" s="678">
        <f t="shared" si="6"/>
        <v>0</v>
      </c>
      <c r="H33" s="724">
        <f t="shared" si="7"/>
        <v>0</v>
      </c>
    </row>
    <row r="34" spans="1:8" s="689" customFormat="1" ht="15.5" x14ac:dyDescent="0.35">
      <c r="A34" s="817"/>
      <c r="B34" s="825">
        <f t="shared" si="5"/>
        <v>0</v>
      </c>
      <c r="C34" s="820">
        <f>B34*'Emission Factors'!$B$263</f>
        <v>0</v>
      </c>
      <c r="D34" s="677">
        <f>C34*'Emission Factors'!$C$263*0.001</f>
        <v>0</v>
      </c>
      <c r="E34" s="677">
        <f>C34*'Emission Factors'!$D$263*0.001</f>
        <v>0</v>
      </c>
      <c r="F34" s="677">
        <f>C34*'Emission Factors'!$E$263*0.001</f>
        <v>0</v>
      </c>
      <c r="G34" s="678">
        <f t="shared" si="6"/>
        <v>0</v>
      </c>
      <c r="H34" s="724">
        <f t="shared" si="7"/>
        <v>0</v>
      </c>
    </row>
    <row r="35" spans="1:8" s="689" customFormat="1" ht="15.5" x14ac:dyDescent="0.35">
      <c r="A35" s="817"/>
      <c r="B35" s="825">
        <f t="shared" si="5"/>
        <v>0</v>
      </c>
      <c r="C35" s="820">
        <f>B35*'Emission Factors'!$B$263</f>
        <v>0</v>
      </c>
      <c r="D35" s="677">
        <f>C35*'Emission Factors'!$C$263*0.001</f>
        <v>0</v>
      </c>
      <c r="E35" s="677">
        <f>C35*'Emission Factors'!$D$263*0.001</f>
        <v>0</v>
      </c>
      <c r="F35" s="677">
        <f>C35*'Emission Factors'!$E$263*0.001</f>
        <v>0</v>
      </c>
      <c r="G35" s="678">
        <f t="shared" si="6"/>
        <v>0</v>
      </c>
      <c r="H35" s="724">
        <f t="shared" si="7"/>
        <v>0</v>
      </c>
    </row>
    <row r="36" spans="1:8" s="689" customFormat="1" ht="15.5" x14ac:dyDescent="0.35">
      <c r="A36" s="817"/>
      <c r="B36" s="825">
        <f t="shared" si="5"/>
        <v>0</v>
      </c>
      <c r="C36" s="820">
        <f>B36*'Emission Factors'!$B$263</f>
        <v>0</v>
      </c>
      <c r="D36" s="677">
        <f>C36*'Emission Factors'!$C$263*0.001</f>
        <v>0</v>
      </c>
      <c r="E36" s="677">
        <f>C36*'Emission Factors'!$D$263*0.001</f>
        <v>0</v>
      </c>
      <c r="F36" s="677">
        <f>C36*'Emission Factors'!$E$263*0.001</f>
        <v>0</v>
      </c>
      <c r="G36" s="678">
        <f t="shared" si="6"/>
        <v>0</v>
      </c>
      <c r="H36" s="724">
        <f t="shared" si="7"/>
        <v>0</v>
      </c>
    </row>
    <row r="37" spans="1:8" s="689" customFormat="1" ht="15.5" x14ac:dyDescent="0.35">
      <c r="A37" s="817"/>
      <c r="B37" s="825">
        <f t="shared" si="5"/>
        <v>0</v>
      </c>
      <c r="C37" s="820">
        <f>B37*'Emission Factors'!$B$263</f>
        <v>0</v>
      </c>
      <c r="D37" s="677">
        <f>C37*'Emission Factors'!$C$263*0.001</f>
        <v>0</v>
      </c>
      <c r="E37" s="677">
        <f>C37*'Emission Factors'!$D$263*0.001</f>
        <v>0</v>
      </c>
      <c r="F37" s="677">
        <f>C37*'Emission Factors'!$E$263*0.001</f>
        <v>0</v>
      </c>
      <c r="G37" s="678">
        <f t="shared" si="6"/>
        <v>0</v>
      </c>
      <c r="H37" s="724">
        <f t="shared" si="7"/>
        <v>0</v>
      </c>
    </row>
    <row r="38" spans="1:8" s="689" customFormat="1" ht="15.5" x14ac:dyDescent="0.35">
      <c r="A38" s="817"/>
      <c r="B38" s="825">
        <f t="shared" si="5"/>
        <v>0</v>
      </c>
      <c r="C38" s="820">
        <f>B38*'Emission Factors'!$B$263</f>
        <v>0</v>
      </c>
      <c r="D38" s="677">
        <f>C38*'Emission Factors'!$C$263*0.001</f>
        <v>0</v>
      </c>
      <c r="E38" s="677">
        <f>C38*'Emission Factors'!$D$263*0.001</f>
        <v>0</v>
      </c>
      <c r="F38" s="677">
        <f>C38*'Emission Factors'!$E$263*0.001</f>
        <v>0</v>
      </c>
      <c r="G38" s="678">
        <f t="shared" si="6"/>
        <v>0</v>
      </c>
      <c r="H38" s="724">
        <f t="shared" si="7"/>
        <v>0</v>
      </c>
    </row>
    <row r="39" spans="1:8" s="689" customFormat="1" ht="16" thickBot="1" x14ac:dyDescent="0.4">
      <c r="A39" s="817"/>
      <c r="B39" s="825">
        <f t="shared" si="5"/>
        <v>0</v>
      </c>
      <c r="C39" s="820">
        <f>B39*'Emission Factors'!$B$263</f>
        <v>0</v>
      </c>
      <c r="D39" s="677">
        <f>C39*'Emission Factors'!$C$263*0.001</f>
        <v>0</v>
      </c>
      <c r="E39" s="677">
        <f>C39*'Emission Factors'!$D$263*0.001</f>
        <v>0</v>
      </c>
      <c r="F39" s="826">
        <f>C39*'Emission Factors'!$E$263*0.001</f>
        <v>0</v>
      </c>
      <c r="G39" s="680">
        <f t="shared" si="6"/>
        <v>0</v>
      </c>
      <c r="H39" s="823">
        <f t="shared" si="7"/>
        <v>0</v>
      </c>
    </row>
    <row r="40" spans="1:8" ht="19" thickBot="1" x14ac:dyDescent="0.5">
      <c r="F40" s="684" t="s">
        <v>327</v>
      </c>
      <c r="G40" s="685">
        <f>SUM(G28:G39)</f>
        <v>0</v>
      </c>
      <c r="H40" s="686">
        <f>SUM(H28:H39)</f>
        <v>0</v>
      </c>
    </row>
    <row r="41" spans="1:8" x14ac:dyDescent="0.45">
      <c r="A41" s="827"/>
    </row>
  </sheetData>
  <sheetProtection algorithmName="SHA-512" hashValue="GjxYX1T0Ehy/wr8NlxZi+yFXFHxXFoUvE3ALgmSbhDP3LyJ14wC+9kV/ovYUvQII6LGnJEjuZwqJb8gDlSpf+w==" saltValue="+l/ne1XF5su4ZWv7o/TQ6w==" spinCount="100000" sheet="1"/>
  <mergeCells count="6">
    <mergeCell ref="E26:F26"/>
    <mergeCell ref="E9:F9"/>
    <mergeCell ref="A7:R7"/>
    <mergeCell ref="A25:R25"/>
    <mergeCell ref="J1:O1"/>
    <mergeCell ref="B1:E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817A-34CF-4284-AD74-FD80D64AB94B}">
  <sheetPr>
    <tabColor rgb="FFFF9900"/>
  </sheetPr>
  <dimension ref="A1:M34"/>
  <sheetViews>
    <sheetView zoomScale="57" zoomScaleNormal="80" workbookViewId="0">
      <selection activeCell="C10" sqref="C10"/>
    </sheetView>
  </sheetViews>
  <sheetFormatPr baseColWidth="10" defaultColWidth="8.81640625" defaultRowHeight="14.5" x14ac:dyDescent="0.35"/>
  <cols>
    <col min="1" max="1" width="23.453125" style="689" customWidth="1"/>
    <col min="2" max="2" width="37" style="689" customWidth="1"/>
    <col min="3" max="3" width="15.26953125" style="689" customWidth="1"/>
    <col min="4" max="4" width="16.81640625" style="689" bestFit="1" customWidth="1"/>
    <col min="5" max="6" width="16.453125" style="689" customWidth="1"/>
    <col min="7" max="7" width="8.81640625" style="689"/>
    <col min="8" max="8" width="14.81640625" style="689" customWidth="1"/>
    <col min="9" max="9" width="8.81640625" style="689"/>
    <col min="10" max="10" width="10.7265625" style="689" customWidth="1"/>
    <col min="11" max="11" width="8.81640625" style="689"/>
    <col min="12" max="12" width="11.54296875" style="689" customWidth="1"/>
    <col min="13" max="16384" width="8.81640625" style="689"/>
  </cols>
  <sheetData>
    <row r="1" spans="1:13" ht="37.5" thickBot="1" x14ac:dyDescent="0.4">
      <c r="A1" s="747" t="s">
        <v>557</v>
      </c>
      <c r="B1" s="1512" t="s">
        <v>558</v>
      </c>
      <c r="C1" s="1492"/>
      <c r="D1" s="1492"/>
      <c r="E1" s="1493"/>
    </row>
    <row r="2" spans="1:13" x14ac:dyDescent="0.35">
      <c r="A2" s="828"/>
      <c r="C2" s="829"/>
    </row>
    <row r="3" spans="1:13" ht="37" x14ac:dyDescent="0.45">
      <c r="A3" s="810"/>
      <c r="B3" s="615" t="s">
        <v>324</v>
      </c>
      <c r="C3" s="786"/>
      <c r="D3" s="786"/>
      <c r="E3" s="786"/>
      <c r="F3" s="786"/>
      <c r="G3" s="668"/>
      <c r="H3" s="1471" t="s">
        <v>318</v>
      </c>
      <c r="I3" s="1472"/>
      <c r="J3" s="1472"/>
      <c r="K3" s="1472"/>
      <c r="L3" s="1472"/>
      <c r="M3" s="1473"/>
    </row>
    <row r="4" spans="1:13" ht="37" x14ac:dyDescent="0.35">
      <c r="A4" s="730" t="s">
        <v>557</v>
      </c>
      <c r="B4" s="623">
        <f>SUM(D10:D11)</f>
        <v>0</v>
      </c>
      <c r="C4" s="830"/>
      <c r="E4" s="830"/>
      <c r="F4" s="830"/>
      <c r="H4" s="831" t="s">
        <v>319</v>
      </c>
      <c r="I4" s="832"/>
      <c r="J4" s="833" t="s">
        <v>320</v>
      </c>
      <c r="K4" s="834"/>
      <c r="L4" s="833" t="s">
        <v>321</v>
      </c>
      <c r="M4" s="835"/>
    </row>
    <row r="5" spans="1:13" x14ac:dyDescent="0.35">
      <c r="C5" s="829"/>
    </row>
    <row r="8" spans="1:13" s="667" customFormat="1" ht="24" thickBot="1" x14ac:dyDescent="0.6">
      <c r="A8" s="598"/>
      <c r="B8" s="1477" t="s">
        <v>330</v>
      </c>
      <c r="C8" s="1478"/>
      <c r="D8" s="598"/>
      <c r="E8" s="598"/>
      <c r="F8" s="836"/>
      <c r="G8" s="836"/>
      <c r="H8" s="836"/>
    </row>
    <row r="9" spans="1:13" ht="46.5" x14ac:dyDescent="0.35">
      <c r="A9" s="837" t="s">
        <v>559</v>
      </c>
      <c r="B9" s="837" t="s">
        <v>560</v>
      </c>
      <c r="C9" s="837" t="s">
        <v>409</v>
      </c>
      <c r="D9" s="838" t="s">
        <v>561</v>
      </c>
    </row>
    <row r="10" spans="1:13" ht="30" customHeight="1" x14ac:dyDescent="0.35">
      <c r="A10" s="620" t="s">
        <v>562</v>
      </c>
      <c r="B10" s="839" t="s">
        <v>563</v>
      </c>
      <c r="C10" s="840"/>
      <c r="D10" s="841">
        <f>C10*'Emission Factors'!C273</f>
        <v>0</v>
      </c>
    </row>
    <row r="11" spans="1:13" ht="27" customHeight="1" thickBot="1" x14ac:dyDescent="0.4">
      <c r="A11" s="620" t="s">
        <v>564</v>
      </c>
      <c r="B11" s="839" t="s">
        <v>563</v>
      </c>
      <c r="C11" s="840"/>
      <c r="D11" s="842">
        <f>C11*'Emission Factors'!C274</f>
        <v>0</v>
      </c>
    </row>
    <row r="12" spans="1:13" x14ac:dyDescent="0.35">
      <c r="F12" s="843"/>
    </row>
    <row r="34" spans="1:1" x14ac:dyDescent="0.35">
      <c r="A34" s="844"/>
    </row>
  </sheetData>
  <sheetProtection algorithmName="SHA-512" hashValue="+jmwnArAjWWPoUFOCar8wzVrQ1ZsFhsfHhp614fSXLtSD4zmGh+6gvELf38rbTX9vwPuhu6zPQlQwf0Hp9q7Dw==" saltValue="PlQBXLLjoJluC2Tpe36eew==" spinCount="100000" sheet="1"/>
  <mergeCells count="3">
    <mergeCell ref="B8:C8"/>
    <mergeCell ref="H3:M3"/>
    <mergeCell ref="B1:E1"/>
  </mergeCells>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AF74"/>
  <sheetViews>
    <sheetView zoomScale="70" zoomScaleNormal="70" workbookViewId="0">
      <selection activeCell="B8" sqref="B8"/>
    </sheetView>
  </sheetViews>
  <sheetFormatPr baseColWidth="10" defaultColWidth="8.81640625" defaultRowHeight="15.5" x14ac:dyDescent="0.35"/>
  <cols>
    <col min="1" max="1" width="86.54296875" style="731" bestFit="1" customWidth="1"/>
    <col min="2" max="2" width="22.453125" style="617" bestFit="1" customWidth="1"/>
    <col min="3" max="3" width="28" style="617" customWidth="1"/>
    <col min="4" max="4" width="24.453125" style="617" bestFit="1" customWidth="1"/>
    <col min="5" max="5" width="21.26953125" style="617" bestFit="1" customWidth="1"/>
    <col min="6" max="6" width="15.81640625" style="617" bestFit="1" customWidth="1"/>
    <col min="7" max="7" width="16.453125" style="617" customWidth="1"/>
    <col min="8" max="8" width="17.453125" style="617" bestFit="1" customWidth="1"/>
    <col min="9" max="9" width="21.1796875" style="617" customWidth="1"/>
    <col min="10" max="10" width="17.54296875" style="617" customWidth="1"/>
    <col min="11" max="11" width="19" style="617" customWidth="1"/>
    <col min="12" max="12" width="14.1796875" style="617" customWidth="1"/>
    <col min="13" max="13" width="18.26953125" style="617" customWidth="1"/>
    <col min="14" max="14" width="14.7265625" style="617" bestFit="1" customWidth="1"/>
    <col min="15" max="15" width="14.26953125" style="617" customWidth="1"/>
    <col min="16" max="22" width="15.7265625" style="617" customWidth="1"/>
    <col min="23" max="23" width="23.453125" style="845" customWidth="1"/>
    <col min="24" max="28" width="15.7265625" style="617" customWidth="1"/>
    <col min="29" max="32" width="15.7265625" style="634" customWidth="1"/>
    <col min="33" max="33" width="15.7265625" style="617" customWidth="1"/>
    <col min="34" max="34" width="10.7265625" style="617" customWidth="1"/>
    <col min="35" max="16384" width="8.81640625" style="617"/>
  </cols>
  <sheetData>
    <row r="1" spans="1:32" ht="63" customHeight="1" thickBot="1" x14ac:dyDescent="0.4">
      <c r="A1" s="747" t="s">
        <v>565</v>
      </c>
      <c r="B1" s="1512" t="s">
        <v>566</v>
      </c>
      <c r="C1" s="1492"/>
      <c r="D1" s="1492"/>
      <c r="E1" s="1493"/>
      <c r="F1" s="656"/>
      <c r="G1" s="656"/>
      <c r="H1" s="1471" t="s">
        <v>318</v>
      </c>
      <c r="I1" s="1472"/>
      <c r="J1" s="1472"/>
      <c r="K1" s="1472"/>
      <c r="L1" s="1472"/>
      <c r="M1" s="1473"/>
      <c r="N1" s="656"/>
      <c r="O1" s="656"/>
      <c r="P1" s="656"/>
      <c r="Q1" s="656"/>
    </row>
    <row r="2" spans="1:32" ht="29.25" customHeight="1" x14ac:dyDescent="0.35">
      <c r="A2" s="846"/>
      <c r="C2" s="847"/>
      <c r="D2" s="847"/>
      <c r="E2" s="847"/>
      <c r="F2" s="847"/>
      <c r="G2" s="847"/>
      <c r="H2" s="657" t="s">
        <v>319</v>
      </c>
      <c r="I2" s="658"/>
      <c r="J2" s="659" t="s">
        <v>320</v>
      </c>
      <c r="K2" s="660"/>
      <c r="L2" s="659" t="s">
        <v>321</v>
      </c>
      <c r="M2" s="661"/>
      <c r="N2" s="639"/>
      <c r="O2" s="639"/>
      <c r="P2" s="639"/>
      <c r="Q2" s="639"/>
    </row>
    <row r="3" spans="1:32" ht="37" customHeight="1" x14ac:dyDescent="0.35">
      <c r="A3" s="662"/>
      <c r="B3" s="615" t="s">
        <v>324</v>
      </c>
      <c r="C3" s="1527" t="s">
        <v>567</v>
      </c>
      <c r="D3" s="1528"/>
      <c r="E3" s="1528"/>
      <c r="F3" s="1528"/>
      <c r="G3" s="1528"/>
      <c r="M3" s="634"/>
      <c r="N3" s="634"/>
      <c r="O3" s="634"/>
      <c r="P3" s="634"/>
      <c r="W3" s="617"/>
      <c r="AC3" s="617"/>
      <c r="AD3" s="617"/>
      <c r="AE3" s="617"/>
      <c r="AF3" s="617"/>
    </row>
    <row r="4" spans="1:32" ht="18.5" x14ac:dyDescent="0.35">
      <c r="A4" s="615" t="s">
        <v>568</v>
      </c>
      <c r="B4" s="623">
        <f>SUM(C14:C22)</f>
        <v>0</v>
      </c>
      <c r="C4" s="1527"/>
      <c r="D4" s="1528"/>
      <c r="E4" s="1528"/>
      <c r="F4" s="1528"/>
      <c r="G4" s="1528"/>
      <c r="W4" s="617"/>
      <c r="AC4" s="617"/>
      <c r="AD4" s="617"/>
      <c r="AE4" s="617"/>
      <c r="AF4" s="617"/>
    </row>
    <row r="5" spans="1:32" ht="18.5" x14ac:dyDescent="0.35">
      <c r="A5" s="615" t="s">
        <v>569</v>
      </c>
      <c r="B5" s="623">
        <f>SUM(D14:D22)</f>
        <v>0</v>
      </c>
      <c r="C5" s="656"/>
      <c r="F5" s="634"/>
      <c r="W5" s="617"/>
      <c r="AC5" s="617"/>
      <c r="AD5" s="617"/>
      <c r="AE5" s="617"/>
      <c r="AF5" s="617"/>
    </row>
    <row r="6" spans="1:32" ht="18.649999999999999" customHeight="1" x14ac:dyDescent="0.35">
      <c r="A6" s="615" t="s">
        <v>570</v>
      </c>
      <c r="B6" s="623">
        <f>SUM(D28:D40)</f>
        <v>0</v>
      </c>
      <c r="C6" s="848"/>
      <c r="D6" s="849"/>
      <c r="E6" s="849"/>
      <c r="F6" s="849"/>
      <c r="G6" s="849"/>
      <c r="W6" s="617"/>
      <c r="AC6" s="617"/>
      <c r="AD6" s="617"/>
      <c r="AE6" s="617"/>
      <c r="AF6" s="617"/>
    </row>
    <row r="7" spans="1:32" ht="18.649999999999999" customHeight="1" x14ac:dyDescent="0.35">
      <c r="A7" s="615" t="s">
        <v>571</v>
      </c>
      <c r="B7" s="623">
        <f>SUM(F28:F40)</f>
        <v>0</v>
      </c>
      <c r="C7" s="1529" t="s">
        <v>572</v>
      </c>
      <c r="D7" s="1530"/>
      <c r="E7" s="1530"/>
      <c r="F7" s="1530"/>
      <c r="G7" s="1530"/>
      <c r="W7" s="617"/>
      <c r="AC7" s="617"/>
      <c r="AD7" s="617"/>
      <c r="AE7" s="617"/>
      <c r="AF7" s="617"/>
    </row>
    <row r="8" spans="1:32" ht="15.65" customHeight="1" x14ac:dyDescent="0.35">
      <c r="A8" s="672" t="s">
        <v>573</v>
      </c>
      <c r="B8" s="623">
        <f>B74</f>
        <v>0</v>
      </c>
      <c r="C8" s="1529"/>
      <c r="D8" s="1530"/>
      <c r="E8" s="1530"/>
      <c r="F8" s="1530"/>
      <c r="G8" s="1530"/>
      <c r="H8" s="634"/>
      <c r="I8" s="634"/>
      <c r="J8" s="634"/>
      <c r="W8" s="617"/>
      <c r="AC8" s="617"/>
      <c r="AD8" s="617"/>
      <c r="AE8" s="617"/>
      <c r="AF8" s="617"/>
    </row>
    <row r="9" spans="1:32" x14ac:dyDescent="0.35">
      <c r="A9" s="618"/>
      <c r="B9" s="850"/>
      <c r="C9" s="850"/>
      <c r="D9" s="850"/>
      <c r="G9" s="845"/>
      <c r="M9" s="634"/>
      <c r="N9" s="634"/>
      <c r="O9" s="634"/>
      <c r="P9" s="634"/>
      <c r="W9" s="617"/>
      <c r="AC9" s="617"/>
      <c r="AD9" s="617"/>
      <c r="AE9" s="617"/>
      <c r="AF9" s="617"/>
    </row>
    <row r="10" spans="1:32" ht="62.15" customHeight="1" x14ac:dyDescent="0.35">
      <c r="A10" s="1523" t="s">
        <v>574</v>
      </c>
      <c r="B10" s="1524"/>
      <c r="C10" s="1524"/>
      <c r="D10" s="1524"/>
      <c r="E10" s="1524"/>
      <c r="F10" s="1524"/>
      <c r="L10" s="845"/>
      <c r="R10" s="634"/>
      <c r="S10" s="634"/>
      <c r="T10" s="634"/>
      <c r="U10" s="634"/>
      <c r="W10" s="617"/>
      <c r="AC10" s="617"/>
      <c r="AD10" s="617"/>
      <c r="AE10" s="617"/>
      <c r="AF10" s="617"/>
    </row>
    <row r="11" spans="1:32" s="667" customFormat="1" ht="24" thickBot="1" x14ac:dyDescent="0.6">
      <c r="B11" s="640" t="s">
        <v>330</v>
      </c>
      <c r="C11" s="641"/>
      <c r="M11" s="648"/>
      <c r="S11" s="851"/>
      <c r="T11" s="851"/>
      <c r="U11" s="851"/>
      <c r="V11" s="851"/>
    </row>
    <row r="12" spans="1:32" ht="42" x14ac:dyDescent="0.35">
      <c r="A12" s="852"/>
      <c r="C12" s="853" t="s">
        <v>1725</v>
      </c>
      <c r="D12" s="853" t="s">
        <v>576</v>
      </c>
      <c r="W12" s="617"/>
      <c r="AC12" s="617"/>
      <c r="AD12" s="617"/>
      <c r="AE12" s="617"/>
      <c r="AF12" s="617"/>
    </row>
    <row r="13" spans="1:32" ht="63" x14ac:dyDescent="0.35">
      <c r="A13" s="854" t="s">
        <v>577</v>
      </c>
      <c r="B13" s="855" t="s">
        <v>578</v>
      </c>
      <c r="C13" s="856" t="s">
        <v>580</v>
      </c>
      <c r="D13" s="856" t="s">
        <v>580</v>
      </c>
      <c r="W13" s="617"/>
      <c r="AC13" s="617"/>
      <c r="AD13" s="617"/>
      <c r="AE13" s="617"/>
      <c r="AF13" s="617"/>
    </row>
    <row r="14" spans="1:32" x14ac:dyDescent="0.35">
      <c r="A14" s="642" t="s">
        <v>581</v>
      </c>
      <c r="B14" s="857"/>
      <c r="C14" s="858">
        <f>B14*'Emission Factors'!$B$321*0.001</f>
        <v>0</v>
      </c>
      <c r="D14" s="858">
        <f>B14*'Emission Factors'!$D$321*0.001</f>
        <v>0</v>
      </c>
      <c r="W14" s="617"/>
      <c r="AC14" s="617"/>
      <c r="AD14" s="617"/>
      <c r="AE14" s="617"/>
      <c r="AF14" s="617"/>
    </row>
    <row r="15" spans="1:32" x14ac:dyDescent="0.35">
      <c r="A15" s="642" t="s">
        <v>582</v>
      </c>
      <c r="B15" s="857"/>
      <c r="C15" s="858">
        <f>B15*'Emission Factors'!$B$322*0.001</f>
        <v>0</v>
      </c>
      <c r="D15" s="858">
        <f>B15*'Emission Factors'!$D$322*0.001</f>
        <v>0</v>
      </c>
      <c r="W15" s="617"/>
      <c r="AC15" s="617"/>
      <c r="AD15" s="617"/>
      <c r="AE15" s="617"/>
      <c r="AF15" s="617"/>
    </row>
    <row r="16" spans="1:32" x14ac:dyDescent="0.35">
      <c r="A16" s="642" t="s">
        <v>583</v>
      </c>
      <c r="B16" s="857"/>
      <c r="C16" s="858">
        <f>B16*0.001*'Emission Factors'!$B$323</f>
        <v>0</v>
      </c>
      <c r="D16" s="858">
        <f>B16*'Emission Factors'!$D$323*0.001</f>
        <v>0</v>
      </c>
      <c r="W16" s="617"/>
      <c r="AC16" s="617"/>
      <c r="AD16" s="617"/>
      <c r="AE16" s="617"/>
      <c r="AF16" s="617"/>
    </row>
    <row r="17" spans="1:19" s="617" customFormat="1" x14ac:dyDescent="0.35">
      <c r="A17" s="642" t="s">
        <v>584</v>
      </c>
      <c r="B17" s="857"/>
      <c r="C17" s="858">
        <f>B17*'Emission Factors'!$B$324*0.001</f>
        <v>0</v>
      </c>
      <c r="D17" s="858">
        <f>B17*'Emission Factors'!$D$324*0.001</f>
        <v>0</v>
      </c>
    </row>
    <row r="18" spans="1:19" s="617" customFormat="1" x14ac:dyDescent="0.35">
      <c r="A18" s="642" t="s">
        <v>585</v>
      </c>
      <c r="B18" s="857"/>
      <c r="C18" s="858">
        <f>B18*0.001*SUM('Emission Factors'!$B$325:$B$326)</f>
        <v>0</v>
      </c>
      <c r="D18" s="858">
        <f>B18*SUM('Emission Factors'!$D$325:$D$326)*0.001</f>
        <v>0</v>
      </c>
    </row>
    <row r="19" spans="1:19" s="617" customFormat="1" x14ac:dyDescent="0.35">
      <c r="A19" s="642" t="s">
        <v>586</v>
      </c>
      <c r="B19" s="857"/>
      <c r="C19" s="858">
        <f>B19*0.001*'Emission Factors'!$B$327</f>
        <v>0</v>
      </c>
      <c r="D19" s="858">
        <f>B19*'Emission Factors'!$D$327*0.001</f>
        <v>0</v>
      </c>
    </row>
    <row r="20" spans="1:19" s="617" customFormat="1" x14ac:dyDescent="0.35">
      <c r="A20" s="642" t="s">
        <v>587</v>
      </c>
      <c r="B20" s="857"/>
      <c r="C20" s="858">
        <f>B20*0.001*SUM('Emission Factors'!$B$329:$B$330)</f>
        <v>0</v>
      </c>
      <c r="D20" s="858">
        <f>B20*SUM('Emission Factors'!$D$329:$D$330)*0.001</f>
        <v>0</v>
      </c>
    </row>
    <row r="21" spans="1:19" s="617" customFormat="1" x14ac:dyDescent="0.35">
      <c r="A21" s="642" t="s">
        <v>588</v>
      </c>
      <c r="B21" s="857"/>
      <c r="C21" s="858">
        <f>B21*0.001*'Emission Factors'!$B$328</f>
        <v>0</v>
      </c>
      <c r="D21" s="858">
        <f>B21*'Emission Factors'!$D$328*0.001</f>
        <v>0</v>
      </c>
    </row>
    <row r="22" spans="1:19" s="617" customFormat="1" ht="16" thickBot="1" x14ac:dyDescent="0.4">
      <c r="A22" s="642" t="s">
        <v>589</v>
      </c>
      <c r="B22" s="857"/>
      <c r="C22" s="605">
        <f>B22*0.001*SUM('Emission Factors'!$B$329:$B$330)</f>
        <v>0</v>
      </c>
      <c r="D22" s="605">
        <f>B22*SUM('Emission Factors'!$D$329:$D$330)*0.001</f>
        <v>0</v>
      </c>
    </row>
    <row r="23" spans="1:19" s="617" customFormat="1" x14ac:dyDescent="0.35">
      <c r="B23" s="845"/>
    </row>
    <row r="24" spans="1:19" s="617" customFormat="1" ht="36" x14ac:dyDescent="0.8">
      <c r="A24" s="1479" t="s">
        <v>590</v>
      </c>
      <c r="B24" s="1480"/>
      <c r="C24" s="1480"/>
      <c r="D24" s="1480"/>
      <c r="E24" s="1480"/>
      <c r="F24" s="1480"/>
    </row>
    <row r="25" spans="1:19" s="667" customFormat="1" ht="24" thickBot="1" x14ac:dyDescent="0.6">
      <c r="A25" s="648"/>
      <c r="B25" s="1525" t="s">
        <v>330</v>
      </c>
      <c r="C25" s="1526"/>
    </row>
    <row r="26" spans="1:19" s="617" customFormat="1" ht="38.25" customHeight="1" x14ac:dyDescent="0.35">
      <c r="A26" s="852"/>
      <c r="C26" s="1518" t="s">
        <v>575</v>
      </c>
      <c r="D26" s="1519"/>
      <c r="E26" s="1518" t="s">
        <v>576</v>
      </c>
      <c r="F26" s="1519"/>
      <c r="H26" s="617" t="s">
        <v>591</v>
      </c>
    </row>
    <row r="27" spans="1:19" s="617" customFormat="1" ht="63" x14ac:dyDescent="0.35">
      <c r="A27" s="854" t="s">
        <v>592</v>
      </c>
      <c r="B27" s="855" t="s">
        <v>593</v>
      </c>
      <c r="C27" s="859" t="s">
        <v>579</v>
      </c>
      <c r="D27" s="860" t="s">
        <v>580</v>
      </c>
      <c r="E27" s="859" t="s">
        <v>579</v>
      </c>
      <c r="F27" s="860" t="s">
        <v>580</v>
      </c>
    </row>
    <row r="28" spans="1:19" s="617" customFormat="1" x14ac:dyDescent="0.35">
      <c r="A28" s="642" t="s">
        <v>594</v>
      </c>
      <c r="B28" s="857"/>
      <c r="C28" s="861"/>
      <c r="D28" s="862">
        <f>B28*C28*0.001</f>
        <v>0</v>
      </c>
      <c r="E28" s="861"/>
      <c r="F28" s="862">
        <f>B28*E28*0.001</f>
        <v>0</v>
      </c>
      <c r="J28" s="845"/>
      <c r="P28" s="634"/>
      <c r="Q28" s="634"/>
      <c r="R28" s="634"/>
      <c r="S28" s="634"/>
    </row>
    <row r="29" spans="1:19" s="617" customFormat="1" x14ac:dyDescent="0.35">
      <c r="A29" s="642" t="s">
        <v>595</v>
      </c>
      <c r="B29" s="857"/>
      <c r="C29" s="861"/>
      <c r="D29" s="862">
        <f>B29*C29*0.001</f>
        <v>0</v>
      </c>
      <c r="E29" s="861"/>
      <c r="F29" s="862">
        <f t="shared" ref="F29:F30" si="0">B29*E29*0.001</f>
        <v>0</v>
      </c>
      <c r="J29" s="845"/>
      <c r="P29" s="634"/>
      <c r="Q29" s="634"/>
      <c r="R29" s="634"/>
      <c r="S29" s="634"/>
    </row>
    <row r="30" spans="1:19" s="617" customFormat="1" x14ac:dyDescent="0.35">
      <c r="A30" s="642" t="s">
        <v>596</v>
      </c>
      <c r="B30" s="857"/>
      <c r="C30" s="861"/>
      <c r="D30" s="862">
        <f>B30*C30*0.001</f>
        <v>0</v>
      </c>
      <c r="E30" s="861"/>
      <c r="F30" s="862">
        <f t="shared" si="0"/>
        <v>0</v>
      </c>
      <c r="J30" s="845"/>
      <c r="P30" s="634"/>
      <c r="Q30" s="634"/>
      <c r="R30" s="634"/>
      <c r="S30" s="634"/>
    </row>
    <row r="31" spans="1:19" s="617" customFormat="1" x14ac:dyDescent="0.35">
      <c r="A31" s="642" t="s">
        <v>581</v>
      </c>
      <c r="B31" s="857"/>
      <c r="C31" s="863">
        <f>'Emission Factors'!B321</f>
        <v>0.68</v>
      </c>
      <c r="D31" s="862">
        <f>B31*C31*0.001</f>
        <v>0</v>
      </c>
      <c r="E31" s="863">
        <f>'Emission Factors'!D321</f>
        <v>0.05</v>
      </c>
      <c r="F31" s="862">
        <f>B31*E31*0.001</f>
        <v>0</v>
      </c>
      <c r="J31" s="845"/>
      <c r="P31" s="634"/>
      <c r="Q31" s="634"/>
      <c r="R31" s="634"/>
      <c r="S31" s="634"/>
    </row>
    <row r="32" spans="1:19" s="617" customFormat="1" x14ac:dyDescent="0.35">
      <c r="A32" s="642" t="s">
        <v>582</v>
      </c>
      <c r="B32" s="857"/>
      <c r="C32" s="863">
        <f>'Emission Factors'!B322</f>
        <v>0.79</v>
      </c>
      <c r="D32" s="862">
        <f t="shared" ref="D32:D40" si="1">B32*C32*0.001</f>
        <v>0</v>
      </c>
      <c r="E32" s="863">
        <f>'Emission Factors'!D322</f>
        <v>7.0000000000000007E-2</v>
      </c>
      <c r="F32" s="862">
        <f t="shared" ref="F32:F40" si="2">B32*E32*0.001</f>
        <v>0</v>
      </c>
      <c r="J32" s="845"/>
      <c r="P32" s="634"/>
      <c r="Q32" s="634"/>
      <c r="R32" s="634"/>
      <c r="S32" s="634"/>
    </row>
    <row r="33" spans="1:32" x14ac:dyDescent="0.35">
      <c r="A33" s="642" t="s">
        <v>583</v>
      </c>
      <c r="B33" s="857"/>
      <c r="C33" s="863">
        <f>'Emission Factors'!B323</f>
        <v>0.73</v>
      </c>
      <c r="D33" s="862">
        <f t="shared" si="1"/>
        <v>0</v>
      </c>
      <c r="E33" s="863">
        <f>'Emission Factors'!D323</f>
        <v>0.15</v>
      </c>
      <c r="F33" s="862">
        <f t="shared" si="2"/>
        <v>0</v>
      </c>
      <c r="J33" s="845"/>
      <c r="P33" s="634"/>
      <c r="Q33" s="634"/>
      <c r="R33" s="634"/>
      <c r="S33" s="634"/>
      <c r="W33" s="617"/>
      <c r="AC33" s="617"/>
      <c r="AD33" s="617"/>
      <c r="AE33" s="617"/>
      <c r="AF33" s="617"/>
    </row>
    <row r="34" spans="1:32" x14ac:dyDescent="0.35">
      <c r="A34" s="642" t="s">
        <v>584</v>
      </c>
      <c r="B34" s="857"/>
      <c r="C34" s="863">
        <f>'Emission Factors'!B324</f>
        <v>0.25</v>
      </c>
      <c r="D34" s="862">
        <f t="shared" si="1"/>
        <v>0</v>
      </c>
      <c r="E34" s="863">
        <f>'Emission Factors'!D324</f>
        <v>0.08</v>
      </c>
      <c r="F34" s="862">
        <f t="shared" si="2"/>
        <v>0</v>
      </c>
      <c r="J34" s="845"/>
      <c r="P34" s="634"/>
      <c r="Q34" s="634"/>
      <c r="R34" s="634"/>
      <c r="S34" s="634"/>
      <c r="W34" s="617"/>
      <c r="AC34" s="617"/>
      <c r="AD34" s="617"/>
      <c r="AE34" s="617"/>
      <c r="AF34" s="617"/>
    </row>
    <row r="35" spans="1:32" x14ac:dyDescent="0.35">
      <c r="A35" s="642" t="s">
        <v>585</v>
      </c>
      <c r="B35" s="857"/>
      <c r="C35" s="863">
        <f>SUM('Emission Factors'!B325:B326)</f>
        <v>0.53</v>
      </c>
      <c r="D35" s="862">
        <f t="shared" si="1"/>
        <v>0</v>
      </c>
      <c r="E35" s="863">
        <f>SUM('Emission Factors'!D325:D326)</f>
        <v>0.04</v>
      </c>
      <c r="F35" s="862">
        <f t="shared" si="2"/>
        <v>0</v>
      </c>
      <c r="S35" s="845"/>
      <c r="W35" s="617"/>
      <c r="Y35" s="634"/>
      <c r="Z35" s="634"/>
      <c r="AA35" s="634"/>
      <c r="AB35" s="634"/>
      <c r="AC35" s="617"/>
      <c r="AD35" s="617"/>
      <c r="AE35" s="617"/>
      <c r="AF35" s="617"/>
    </row>
    <row r="36" spans="1:32" x14ac:dyDescent="0.35">
      <c r="A36" s="642" t="s">
        <v>586</v>
      </c>
      <c r="B36" s="857"/>
      <c r="C36" s="863">
        <f>'Emission Factors'!B327</f>
        <v>0.62</v>
      </c>
      <c r="D36" s="862">
        <f t="shared" si="1"/>
        <v>0</v>
      </c>
      <c r="E36" s="863">
        <f>'Emission Factors'!D327</f>
        <v>7.0000000000000007E-2</v>
      </c>
      <c r="F36" s="862">
        <f t="shared" si="2"/>
        <v>0</v>
      </c>
    </row>
    <row r="37" spans="1:32" x14ac:dyDescent="0.35">
      <c r="A37" s="642" t="s">
        <v>587</v>
      </c>
      <c r="B37" s="857"/>
      <c r="C37" s="863">
        <f>SUM('Emission Factors'!B329:B330)</f>
        <v>0.54</v>
      </c>
      <c r="D37" s="862">
        <f t="shared" si="1"/>
        <v>0</v>
      </c>
      <c r="E37" s="863">
        <f>SUM('Emission Factors'!D329:D330)</f>
        <v>7.0000000000000007E-2</v>
      </c>
      <c r="F37" s="862">
        <f t="shared" si="2"/>
        <v>0</v>
      </c>
    </row>
    <row r="38" spans="1:32" x14ac:dyDescent="0.35">
      <c r="A38" s="642" t="s">
        <v>588</v>
      </c>
      <c r="B38" s="857"/>
      <c r="C38" s="863">
        <f>'Emission Factors'!B328</f>
        <v>0.12</v>
      </c>
      <c r="D38" s="862">
        <f t="shared" si="1"/>
        <v>0</v>
      </c>
      <c r="E38" s="863">
        <f>'Emission Factors'!D328</f>
        <v>0.01</v>
      </c>
      <c r="F38" s="862">
        <f t="shared" si="2"/>
        <v>0</v>
      </c>
    </row>
    <row r="39" spans="1:32" x14ac:dyDescent="0.35">
      <c r="A39" s="642" t="s">
        <v>589</v>
      </c>
      <c r="B39" s="857"/>
      <c r="C39" s="863">
        <f>SUM('Emission Factors'!B329:B330)</f>
        <v>0.54</v>
      </c>
      <c r="D39" s="862">
        <f t="shared" si="1"/>
        <v>0</v>
      </c>
      <c r="E39" s="863">
        <f>SUM('Emission Factors'!D329:D330)</f>
        <v>7.0000000000000007E-2</v>
      </c>
      <c r="F39" s="862">
        <f t="shared" si="2"/>
        <v>0</v>
      </c>
    </row>
    <row r="40" spans="1:32" ht="16" thickBot="1" x14ac:dyDescent="0.4">
      <c r="A40" s="643" t="s">
        <v>1843</v>
      </c>
      <c r="B40" s="864"/>
      <c r="C40" s="865">
        <f>'Emission Factors'!B336</f>
        <v>0.81</v>
      </c>
      <c r="D40" s="866">
        <f t="shared" si="1"/>
        <v>0</v>
      </c>
      <c r="E40" s="865">
        <f>'Emission Factors'!D336</f>
        <v>0.1</v>
      </c>
      <c r="F40" s="866">
        <f t="shared" si="2"/>
        <v>0</v>
      </c>
    </row>
    <row r="41" spans="1:32" x14ac:dyDescent="0.35">
      <c r="A41" s="644" t="s">
        <v>597</v>
      </c>
    </row>
    <row r="43" spans="1:32" ht="31" x14ac:dyDescent="0.7">
      <c r="A43" s="1520" t="s">
        <v>573</v>
      </c>
      <c r="B43" s="1521"/>
      <c r="C43" s="1521"/>
      <c r="D43" s="1521"/>
      <c r="E43" s="1521"/>
      <c r="F43" s="1521"/>
      <c r="G43" s="1521"/>
      <c r="H43" s="1521"/>
      <c r="I43" s="1521"/>
      <c r="J43" s="1521"/>
      <c r="K43" s="1521"/>
      <c r="L43" s="1521"/>
      <c r="M43" s="1521"/>
      <c r="N43" s="1521"/>
      <c r="O43" s="1521"/>
      <c r="P43" s="1521"/>
      <c r="Q43" s="1521"/>
      <c r="R43" s="1521"/>
      <c r="S43" s="1521"/>
      <c r="T43" s="1521"/>
    </row>
    <row r="44" spans="1:32" ht="21" x14ac:dyDescent="0.35">
      <c r="A44" s="645" t="s">
        <v>598</v>
      </c>
      <c r="B44" s="867"/>
      <c r="C44" s="867"/>
      <c r="D44" s="867"/>
      <c r="E44" s="867"/>
      <c r="F44" s="867"/>
      <c r="G44" s="867"/>
      <c r="H44" s="868"/>
      <c r="I44" s="867"/>
      <c r="J44" s="867"/>
      <c r="K44" s="867"/>
      <c r="L44" s="867"/>
      <c r="M44" s="867"/>
      <c r="N44" s="867"/>
      <c r="O44" s="867"/>
      <c r="P44" s="867"/>
      <c r="Q44" s="867"/>
      <c r="R44" s="867"/>
      <c r="S44" s="867"/>
      <c r="T44" s="867"/>
    </row>
    <row r="45" spans="1:32" ht="46.5" x14ac:dyDescent="0.35">
      <c r="A45" s="869" t="s">
        <v>331</v>
      </c>
      <c r="B45" s="869" t="s">
        <v>599</v>
      </c>
      <c r="C45" s="867"/>
      <c r="D45" s="867"/>
      <c r="E45" s="867"/>
      <c r="I45" s="867"/>
      <c r="J45" s="867"/>
      <c r="K45" s="867"/>
      <c r="L45" s="867"/>
      <c r="M45" s="867"/>
      <c r="N45" s="867"/>
      <c r="O45" s="867"/>
      <c r="P45" s="867"/>
      <c r="Q45" s="867"/>
      <c r="R45" s="867"/>
      <c r="S45" s="867"/>
      <c r="T45" s="867"/>
    </row>
    <row r="46" spans="1:32" x14ac:dyDescent="0.35">
      <c r="A46" s="870" t="s">
        <v>600</v>
      </c>
      <c r="B46" s="871">
        <f>B30</f>
        <v>0</v>
      </c>
      <c r="C46" s="867"/>
      <c r="D46" s="867"/>
      <c r="E46" s="867"/>
      <c r="I46" s="867"/>
      <c r="J46" s="867"/>
      <c r="K46" s="867"/>
      <c r="L46" s="867"/>
      <c r="M46" s="867"/>
      <c r="N46" s="867"/>
      <c r="O46" s="867"/>
      <c r="P46" s="867"/>
      <c r="Q46" s="867"/>
      <c r="R46" s="867"/>
      <c r="S46" s="867"/>
      <c r="T46" s="867"/>
    </row>
    <row r="47" spans="1:32" x14ac:dyDescent="0.35">
      <c r="A47" s="870"/>
      <c r="B47" s="870"/>
      <c r="C47" s="867"/>
      <c r="D47" s="867"/>
      <c r="E47" s="867"/>
      <c r="F47" s="867"/>
      <c r="G47" s="867"/>
      <c r="H47" s="867"/>
      <c r="I47" s="867"/>
      <c r="J47" s="867"/>
      <c r="K47" s="867"/>
      <c r="L47" s="867"/>
      <c r="M47" s="867"/>
      <c r="N47" s="867"/>
      <c r="O47" s="867"/>
      <c r="P47" s="867"/>
      <c r="Q47" s="867"/>
      <c r="R47" s="867"/>
      <c r="S47" s="867"/>
      <c r="T47" s="867"/>
    </row>
    <row r="48" spans="1:32" x14ac:dyDescent="0.35">
      <c r="A48" s="870"/>
      <c r="B48" s="870"/>
      <c r="C48" s="867"/>
      <c r="D48" s="867"/>
      <c r="E48" s="867"/>
      <c r="F48" s="867"/>
      <c r="G48" s="867"/>
      <c r="H48" s="867"/>
      <c r="I48" s="867"/>
      <c r="J48" s="867"/>
      <c r="K48" s="867"/>
      <c r="L48" s="867"/>
      <c r="M48" s="867"/>
      <c r="N48" s="867"/>
      <c r="O48" s="867"/>
      <c r="P48" s="867"/>
      <c r="Q48" s="867"/>
      <c r="R48" s="867"/>
      <c r="S48" s="867"/>
      <c r="T48" s="867"/>
    </row>
    <row r="49" spans="1:20" x14ac:dyDescent="0.35">
      <c r="A49" s="870"/>
      <c r="B49" s="870"/>
      <c r="C49" s="867"/>
      <c r="D49" s="867"/>
      <c r="E49" s="867"/>
      <c r="F49" s="867"/>
      <c r="G49" s="867"/>
      <c r="H49" s="867"/>
      <c r="I49" s="867"/>
      <c r="J49" s="867"/>
      <c r="K49" s="867"/>
      <c r="L49" s="867"/>
      <c r="M49" s="867"/>
      <c r="N49" s="867"/>
      <c r="O49" s="867"/>
      <c r="P49" s="867"/>
      <c r="Q49" s="867"/>
      <c r="R49" s="867"/>
      <c r="S49" s="867"/>
      <c r="T49" s="867"/>
    </row>
    <row r="50" spans="1:20" x14ac:dyDescent="0.35">
      <c r="A50" s="870"/>
      <c r="B50" s="870"/>
      <c r="C50" s="867"/>
      <c r="D50" s="867"/>
      <c r="E50" s="867"/>
      <c r="F50" s="867"/>
      <c r="G50" s="867"/>
      <c r="H50" s="867"/>
      <c r="I50" s="867"/>
      <c r="J50" s="867"/>
      <c r="K50" s="867"/>
      <c r="L50" s="867"/>
      <c r="M50" s="867"/>
      <c r="N50" s="867"/>
      <c r="O50" s="867"/>
      <c r="P50" s="867"/>
      <c r="Q50" s="867"/>
      <c r="R50" s="867"/>
      <c r="S50" s="867"/>
      <c r="T50" s="867"/>
    </row>
    <row r="51" spans="1:20" x14ac:dyDescent="0.35">
      <c r="A51" s="870"/>
      <c r="B51" s="870"/>
      <c r="C51" s="867"/>
      <c r="D51" s="867"/>
      <c r="E51" s="867"/>
      <c r="F51" s="867"/>
      <c r="G51" s="867"/>
      <c r="H51" s="867"/>
      <c r="I51" s="867"/>
      <c r="J51" s="867"/>
      <c r="K51" s="867"/>
      <c r="L51" s="867"/>
      <c r="M51" s="867"/>
      <c r="N51" s="867"/>
      <c r="O51" s="867"/>
      <c r="P51" s="867"/>
      <c r="Q51" s="867"/>
      <c r="R51" s="867"/>
      <c r="S51" s="867"/>
      <c r="T51" s="867"/>
    </row>
    <row r="52" spans="1:20" x14ac:dyDescent="0.35">
      <c r="A52" s="870"/>
      <c r="B52" s="870"/>
      <c r="C52" s="867"/>
      <c r="D52" s="867"/>
      <c r="E52" s="867"/>
      <c r="F52" s="867"/>
      <c r="G52" s="867"/>
      <c r="H52" s="867"/>
      <c r="I52" s="867"/>
      <c r="J52" s="867"/>
      <c r="K52" s="867"/>
      <c r="L52" s="867"/>
      <c r="M52" s="867"/>
      <c r="N52" s="867"/>
      <c r="O52" s="867"/>
      <c r="P52" s="867"/>
      <c r="Q52" s="867"/>
      <c r="R52" s="867"/>
      <c r="S52" s="867"/>
      <c r="T52" s="867"/>
    </row>
    <row r="53" spans="1:20" x14ac:dyDescent="0.35">
      <c r="A53" s="870"/>
      <c r="B53" s="870"/>
      <c r="C53" s="867"/>
      <c r="D53" s="867"/>
      <c r="E53" s="867"/>
      <c r="F53" s="867"/>
      <c r="G53" s="867"/>
      <c r="H53" s="867"/>
      <c r="I53" s="867"/>
      <c r="J53" s="867"/>
      <c r="K53" s="867"/>
      <c r="L53" s="867"/>
      <c r="M53" s="867"/>
      <c r="N53" s="867"/>
      <c r="O53" s="867"/>
      <c r="P53" s="867"/>
      <c r="Q53" s="867"/>
      <c r="R53" s="867"/>
      <c r="S53" s="867"/>
      <c r="T53" s="867"/>
    </row>
    <row r="54" spans="1:20" ht="16" thickBot="1" x14ac:dyDescent="0.4">
      <c r="A54" s="872"/>
      <c r="B54" s="872"/>
      <c r="C54" s="867"/>
      <c r="D54" s="867"/>
      <c r="E54" s="867"/>
      <c r="F54" s="867"/>
      <c r="G54" s="867"/>
      <c r="H54" s="867"/>
      <c r="I54" s="867"/>
      <c r="J54" s="867"/>
      <c r="K54" s="867"/>
      <c r="L54" s="867"/>
      <c r="M54" s="867"/>
      <c r="N54" s="867"/>
      <c r="O54" s="867"/>
      <c r="P54" s="867"/>
      <c r="Q54" s="867"/>
      <c r="R54" s="867"/>
      <c r="S54" s="867"/>
      <c r="T54" s="867"/>
    </row>
    <row r="55" spans="1:20" ht="16" thickBot="1" x14ac:dyDescent="0.4">
      <c r="A55" s="873" t="s">
        <v>327</v>
      </c>
      <c r="B55" s="874">
        <f>SUM(B46:B54)</f>
        <v>0</v>
      </c>
      <c r="C55" s="867"/>
      <c r="D55" s="867"/>
      <c r="E55" s="867"/>
      <c r="F55" s="867"/>
      <c r="G55" s="867"/>
      <c r="H55" s="867"/>
      <c r="I55" s="867"/>
      <c r="J55" s="867"/>
      <c r="K55" s="867"/>
      <c r="L55" s="867"/>
      <c r="M55" s="867"/>
      <c r="N55" s="867"/>
      <c r="O55" s="867"/>
      <c r="P55" s="867"/>
      <c r="Q55" s="867"/>
      <c r="R55" s="867"/>
      <c r="S55" s="867"/>
      <c r="T55" s="867"/>
    </row>
    <row r="56" spans="1:20" x14ac:dyDescent="0.35">
      <c r="A56" s="875"/>
      <c r="B56" s="867"/>
      <c r="C56" s="867"/>
      <c r="D56" s="867"/>
      <c r="E56" s="867"/>
      <c r="F56" s="867"/>
      <c r="G56" s="867"/>
      <c r="H56" s="867"/>
      <c r="I56" s="867"/>
      <c r="J56" s="867"/>
      <c r="K56" s="867"/>
      <c r="L56" s="867"/>
      <c r="M56" s="867"/>
      <c r="N56" s="867"/>
      <c r="O56" s="867"/>
      <c r="P56" s="867"/>
      <c r="Q56" s="867"/>
      <c r="R56" s="867"/>
      <c r="S56" s="867"/>
      <c r="T56" s="867"/>
    </row>
    <row r="57" spans="1:20" x14ac:dyDescent="0.35">
      <c r="A57" s="875"/>
      <c r="B57" s="867"/>
      <c r="C57" s="867"/>
      <c r="D57" s="867"/>
      <c r="E57" s="867"/>
      <c r="F57" s="867"/>
      <c r="G57" s="867"/>
      <c r="H57" s="867"/>
      <c r="I57" s="867"/>
      <c r="J57" s="867"/>
      <c r="K57" s="867"/>
      <c r="L57" s="867"/>
      <c r="M57" s="867"/>
      <c r="N57" s="867"/>
      <c r="O57" s="867"/>
      <c r="P57" s="867"/>
      <c r="Q57" s="867"/>
      <c r="R57" s="867"/>
      <c r="S57" s="867"/>
      <c r="T57" s="867"/>
    </row>
    <row r="58" spans="1:20" ht="21" customHeight="1" x14ac:dyDescent="0.35">
      <c r="A58" s="1522" t="s">
        <v>601</v>
      </c>
      <c r="B58" s="1522"/>
      <c r="C58" s="867"/>
      <c r="D58" s="867"/>
      <c r="E58" s="867"/>
      <c r="F58" s="867"/>
      <c r="G58" s="867"/>
      <c r="H58" s="867"/>
      <c r="I58" s="867"/>
      <c r="J58" s="867"/>
      <c r="K58" s="867"/>
      <c r="L58" s="867"/>
      <c r="M58" s="867"/>
      <c r="N58" s="867"/>
      <c r="O58" s="867"/>
      <c r="P58" s="867"/>
      <c r="Q58" s="867"/>
      <c r="R58" s="867"/>
      <c r="S58" s="867"/>
      <c r="T58" s="867"/>
    </row>
    <row r="59" spans="1:20" x14ac:dyDescent="0.35">
      <c r="A59" s="875"/>
      <c r="B59" s="867"/>
      <c r="C59" s="867"/>
      <c r="D59" s="867"/>
      <c r="E59" s="867"/>
      <c r="F59" s="867"/>
      <c r="G59" s="867"/>
      <c r="H59" s="867"/>
      <c r="I59" s="867"/>
      <c r="J59" s="867"/>
      <c r="K59" s="867"/>
      <c r="L59" s="867"/>
      <c r="M59" s="867"/>
      <c r="N59" s="867"/>
      <c r="O59" s="867"/>
      <c r="P59" s="867"/>
      <c r="Q59" s="867"/>
      <c r="R59" s="867"/>
      <c r="S59" s="867"/>
      <c r="T59" s="867"/>
    </row>
    <row r="60" spans="1:20" ht="31" x14ac:dyDescent="0.35">
      <c r="A60" s="869"/>
      <c r="B60" s="869" t="s">
        <v>602</v>
      </c>
      <c r="C60" s="867"/>
      <c r="D60" s="867"/>
      <c r="E60" s="867"/>
      <c r="F60" s="867"/>
      <c r="G60" s="867"/>
      <c r="H60" s="867"/>
      <c r="I60" s="867"/>
      <c r="J60" s="867"/>
      <c r="K60" s="867"/>
      <c r="L60" s="867"/>
      <c r="M60" s="867"/>
      <c r="N60" s="867"/>
      <c r="O60" s="867"/>
      <c r="P60" s="867"/>
      <c r="Q60" s="867"/>
      <c r="R60" s="867"/>
      <c r="S60" s="867"/>
      <c r="T60" s="867"/>
    </row>
    <row r="61" spans="1:20" ht="31" x14ac:dyDescent="0.35">
      <c r="A61" s="869" t="s">
        <v>603</v>
      </c>
      <c r="B61" s="876">
        <f>SUM(B31:B40,B28:B29)</f>
        <v>0</v>
      </c>
      <c r="C61" s="867"/>
      <c r="D61" s="867"/>
      <c r="E61" s="867"/>
      <c r="F61" s="867"/>
      <c r="G61" s="867"/>
      <c r="H61" s="867"/>
      <c r="I61" s="867"/>
      <c r="J61" s="867"/>
      <c r="K61" s="867"/>
      <c r="L61" s="867"/>
      <c r="M61" s="867"/>
      <c r="N61" s="867"/>
      <c r="O61" s="867"/>
      <c r="P61" s="867"/>
      <c r="Q61" s="867"/>
      <c r="R61" s="867"/>
      <c r="S61" s="867"/>
      <c r="T61" s="867"/>
    </row>
    <row r="62" spans="1:20" ht="31" x14ac:dyDescent="0.35">
      <c r="A62" s="869" t="s">
        <v>604</v>
      </c>
      <c r="B62" s="876">
        <f>SUM(B14:B22)</f>
        <v>0</v>
      </c>
      <c r="C62" s="867"/>
      <c r="D62" s="867"/>
      <c r="E62" s="867"/>
      <c r="F62" s="867"/>
      <c r="G62" s="867"/>
      <c r="H62" s="867"/>
      <c r="I62" s="867"/>
      <c r="J62" s="867"/>
      <c r="K62" s="867"/>
      <c r="L62" s="867"/>
      <c r="M62" s="867"/>
      <c r="N62" s="867"/>
      <c r="O62" s="867"/>
      <c r="P62" s="867"/>
      <c r="Q62" s="867"/>
      <c r="R62" s="867"/>
      <c r="S62" s="867"/>
      <c r="T62" s="867"/>
    </row>
    <row r="63" spans="1:20" x14ac:dyDescent="0.35">
      <c r="A63" s="873" t="s">
        <v>605</v>
      </c>
      <c r="B63" s="876">
        <f>IF(B61=B62,B61,FALSE)</f>
        <v>0</v>
      </c>
      <c r="C63" s="693" t="s">
        <v>606</v>
      </c>
      <c r="D63" s="867"/>
      <c r="E63" s="867"/>
      <c r="F63" s="867"/>
      <c r="G63" s="867"/>
      <c r="H63" s="867"/>
      <c r="I63" s="867"/>
      <c r="J63" s="867"/>
      <c r="K63" s="867"/>
      <c r="L63" s="867"/>
      <c r="M63" s="867"/>
      <c r="N63" s="867"/>
      <c r="O63" s="867"/>
      <c r="P63" s="867"/>
      <c r="Q63" s="867"/>
      <c r="R63" s="867"/>
      <c r="S63" s="867"/>
      <c r="T63" s="867"/>
    </row>
    <row r="64" spans="1:20" x14ac:dyDescent="0.35">
      <c r="A64" s="875"/>
      <c r="B64" s="867"/>
      <c r="C64" s="867"/>
      <c r="D64" s="867"/>
      <c r="E64" s="867"/>
      <c r="F64" s="867"/>
      <c r="G64" s="867"/>
      <c r="H64" s="867"/>
      <c r="I64" s="867"/>
      <c r="J64" s="867"/>
      <c r="K64" s="867"/>
      <c r="L64" s="867"/>
      <c r="M64" s="867"/>
      <c r="N64" s="867"/>
      <c r="O64" s="867"/>
      <c r="P64" s="867"/>
      <c r="Q64" s="867"/>
      <c r="R64" s="867"/>
      <c r="S64" s="867"/>
      <c r="T64" s="867"/>
    </row>
    <row r="65" spans="1:20" ht="31" x14ac:dyDescent="0.35">
      <c r="A65" s="869"/>
      <c r="B65" s="869" t="s">
        <v>607</v>
      </c>
      <c r="C65" s="869" t="s">
        <v>384</v>
      </c>
      <c r="D65" s="877" t="s">
        <v>608</v>
      </c>
      <c r="E65" s="867"/>
      <c r="F65" s="867"/>
      <c r="G65" s="867"/>
      <c r="H65" s="867"/>
      <c r="I65" s="867"/>
      <c r="J65" s="867"/>
      <c r="K65" s="867"/>
      <c r="L65" s="867"/>
      <c r="M65" s="867"/>
      <c r="N65" s="867"/>
      <c r="O65" s="867"/>
      <c r="P65" s="867"/>
      <c r="Q65" s="867"/>
      <c r="R65" s="867"/>
      <c r="S65" s="867"/>
      <c r="T65" s="867"/>
    </row>
    <row r="66" spans="1:20" x14ac:dyDescent="0.35">
      <c r="A66" s="869" t="s">
        <v>609</v>
      </c>
      <c r="B66" s="878">
        <f>Stationary!H6</f>
        <v>0</v>
      </c>
      <c r="C66" s="876">
        <f>B66*293.07</f>
        <v>0</v>
      </c>
      <c r="D66" s="867"/>
      <c r="E66" s="867"/>
      <c r="F66" s="867"/>
      <c r="G66" s="867"/>
      <c r="H66" s="867"/>
      <c r="I66" s="867"/>
      <c r="J66" s="867"/>
      <c r="K66" s="867"/>
      <c r="L66" s="867"/>
      <c r="M66" s="867"/>
      <c r="N66" s="867"/>
      <c r="O66" s="867"/>
      <c r="P66" s="867"/>
      <c r="Q66" s="867"/>
      <c r="R66" s="867"/>
      <c r="S66" s="867"/>
      <c r="T66" s="867"/>
    </row>
    <row r="67" spans="1:20" ht="6" customHeight="1" thickBot="1" x14ac:dyDescent="0.4">
      <c r="A67" s="863"/>
      <c r="B67" s="863"/>
      <c r="C67" s="863"/>
      <c r="D67" s="1130"/>
      <c r="E67" s="1130"/>
      <c r="F67" s="1130"/>
      <c r="G67" s="867"/>
      <c r="H67" s="867"/>
      <c r="I67" s="867"/>
      <c r="J67" s="867"/>
      <c r="K67" s="867"/>
      <c r="L67" s="867"/>
      <c r="M67" s="867"/>
      <c r="N67" s="867"/>
      <c r="O67" s="867"/>
      <c r="P67" s="867"/>
      <c r="Q67" s="867"/>
      <c r="R67" s="867"/>
      <c r="S67" s="867"/>
      <c r="T67" s="867"/>
    </row>
    <row r="68" spans="1:20" ht="16" thickBot="1" x14ac:dyDescent="0.4">
      <c r="A68" s="879"/>
      <c r="B68" s="880" t="s">
        <v>327</v>
      </c>
      <c r="C68" s="874">
        <f>SUM(C66:C67,B63)</f>
        <v>0</v>
      </c>
      <c r="D68" s="867"/>
      <c r="E68" s="867"/>
      <c r="F68" s="867"/>
      <c r="G68" s="867"/>
      <c r="H68" s="867"/>
      <c r="I68" s="867"/>
      <c r="J68" s="867"/>
      <c r="K68" s="867"/>
      <c r="L68" s="867"/>
      <c r="M68" s="867"/>
      <c r="N68" s="867"/>
      <c r="O68" s="867"/>
      <c r="P68" s="867"/>
      <c r="Q68" s="867"/>
      <c r="R68" s="867"/>
      <c r="S68" s="867"/>
      <c r="T68" s="867"/>
    </row>
    <row r="69" spans="1:20" x14ac:dyDescent="0.35">
      <c r="A69" s="875"/>
      <c r="B69" s="867"/>
      <c r="C69" s="867"/>
      <c r="D69" s="867"/>
      <c r="E69" s="867"/>
      <c r="F69" s="867"/>
      <c r="G69" s="867"/>
      <c r="H69" s="867"/>
      <c r="I69" s="867"/>
      <c r="J69" s="867"/>
      <c r="K69" s="867"/>
      <c r="L69" s="867"/>
      <c r="M69" s="867"/>
      <c r="N69" s="867"/>
      <c r="O69" s="867"/>
      <c r="P69" s="867"/>
      <c r="Q69" s="867"/>
      <c r="R69" s="867"/>
      <c r="S69" s="867"/>
      <c r="T69" s="867"/>
    </row>
    <row r="70" spans="1:20" x14ac:dyDescent="0.35">
      <c r="A70" s="881"/>
      <c r="B70" s="867"/>
      <c r="C70" s="867"/>
      <c r="D70" s="867"/>
      <c r="E70" s="867"/>
      <c r="F70" s="867"/>
      <c r="G70" s="867"/>
      <c r="H70" s="867"/>
      <c r="I70" s="867"/>
      <c r="J70" s="867"/>
      <c r="K70" s="867"/>
      <c r="L70" s="867"/>
      <c r="M70" s="867"/>
      <c r="N70" s="867"/>
      <c r="O70" s="867"/>
      <c r="P70" s="867"/>
      <c r="Q70" s="867"/>
      <c r="R70" s="867"/>
      <c r="S70" s="867"/>
      <c r="T70" s="867"/>
    </row>
    <row r="71" spans="1:20" ht="21.5" thickBot="1" x14ac:dyDescent="0.4">
      <c r="A71" s="645" t="s">
        <v>610</v>
      </c>
      <c r="B71" s="867"/>
      <c r="C71" s="867"/>
      <c r="D71" s="867"/>
      <c r="E71" s="867"/>
      <c r="F71" s="867"/>
      <c r="G71" s="867"/>
      <c r="H71" s="867"/>
      <c r="I71" s="867"/>
      <c r="J71" s="867"/>
      <c r="K71" s="867"/>
      <c r="L71" s="867"/>
      <c r="M71" s="867"/>
      <c r="N71" s="867"/>
      <c r="O71" s="867"/>
      <c r="P71" s="867"/>
      <c r="Q71" s="867"/>
      <c r="R71" s="867"/>
      <c r="S71" s="867"/>
      <c r="T71" s="867"/>
    </row>
    <row r="72" spans="1:20" ht="62" x14ac:dyDescent="0.35">
      <c r="A72" s="882" t="s">
        <v>611</v>
      </c>
      <c r="B72" s="883">
        <f>IF(G73&gt;0,C68,B55)</f>
        <v>0</v>
      </c>
      <c r="C72" s="693"/>
      <c r="D72" s="867"/>
      <c r="E72" s="869" t="s">
        <v>612</v>
      </c>
      <c r="F72" s="869" t="s">
        <v>613</v>
      </c>
      <c r="G72" s="869" t="s">
        <v>614</v>
      </c>
      <c r="H72" s="867"/>
      <c r="I72" s="867"/>
      <c r="J72" s="867"/>
      <c r="K72" s="867"/>
      <c r="L72" s="867"/>
      <c r="M72" s="867"/>
      <c r="N72" s="867"/>
      <c r="O72" s="867"/>
      <c r="P72" s="867"/>
      <c r="Q72" s="867"/>
      <c r="R72" s="867"/>
      <c r="S72" s="867"/>
      <c r="T72" s="867"/>
    </row>
    <row r="73" spans="1:20" ht="19.5" customHeight="1" x14ac:dyDescent="0.35">
      <c r="A73" s="882" t="s">
        <v>601</v>
      </c>
      <c r="B73" s="884">
        <f>C68</f>
        <v>0</v>
      </c>
      <c r="C73" s="693"/>
      <c r="D73" s="867"/>
      <c r="E73" s="878">
        <f>B55</f>
        <v>0</v>
      </c>
      <c r="F73" s="878">
        <f>C68</f>
        <v>0</v>
      </c>
      <c r="G73" s="878">
        <f>E73-F73</f>
        <v>0</v>
      </c>
      <c r="H73" s="693" t="s">
        <v>615</v>
      </c>
      <c r="I73" s="867"/>
      <c r="J73" s="867"/>
      <c r="K73" s="867"/>
      <c r="L73" s="867"/>
      <c r="M73" s="867"/>
      <c r="N73" s="867"/>
      <c r="O73" s="867"/>
      <c r="P73" s="867"/>
      <c r="Q73" s="867"/>
      <c r="R73" s="867"/>
      <c r="S73" s="867"/>
      <c r="T73" s="867"/>
    </row>
    <row r="74" spans="1:20" ht="16" thickBot="1" x14ac:dyDescent="0.4">
      <c r="A74" s="882" t="s">
        <v>573</v>
      </c>
      <c r="B74" s="1131">
        <f>IFERROR(B72/B73,0)</f>
        <v>0</v>
      </c>
      <c r="C74" s="867"/>
      <c r="D74" s="867"/>
      <c r="E74" s="867"/>
      <c r="F74" s="867"/>
      <c r="G74" s="867"/>
      <c r="H74" s="693" t="s">
        <v>616</v>
      </c>
      <c r="I74" s="867"/>
      <c r="J74" s="867"/>
      <c r="K74" s="867"/>
      <c r="L74" s="867"/>
      <c r="M74" s="867"/>
      <c r="N74" s="867"/>
      <c r="O74" s="867"/>
      <c r="P74" s="867"/>
      <c r="Q74" s="867"/>
      <c r="R74" s="867"/>
      <c r="S74" s="867"/>
      <c r="T74" s="867"/>
    </row>
  </sheetData>
  <sheetProtection algorithmName="SHA-512" hashValue="s5Z6cj2KNHEOz5B9hyCSv+8PDfIIzy14WC2ov8r4wIvWmk051XSNa4LeNmmZinJYwMYUMs5Ye2eVNRnM6dbzSg==" saltValue="9fJLs68tS8bBwf8H67D3BQ==" spinCount="100000" sheet="1"/>
  <mergeCells count="11">
    <mergeCell ref="E26:F26"/>
    <mergeCell ref="A43:T43"/>
    <mergeCell ref="A58:B58"/>
    <mergeCell ref="B1:E1"/>
    <mergeCell ref="H1:M1"/>
    <mergeCell ref="A10:F10"/>
    <mergeCell ref="A24:F24"/>
    <mergeCell ref="B25:C25"/>
    <mergeCell ref="C26:D26"/>
    <mergeCell ref="C3:G4"/>
    <mergeCell ref="C7:G8"/>
  </mergeCells>
  <pageMargins left="0.7" right="0.7" top="0.75" bottom="0.75" header="0.3" footer="0.3"/>
  <pageSetup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9999"/>
  </sheetPr>
  <dimension ref="A1:Q89"/>
  <sheetViews>
    <sheetView topLeftCell="A7" zoomScale="73" zoomScaleNormal="90" workbookViewId="0">
      <selection activeCell="D19" sqref="D19"/>
    </sheetView>
  </sheetViews>
  <sheetFormatPr baseColWidth="10" defaultColWidth="8.81640625" defaultRowHeight="15.5" x14ac:dyDescent="0.35"/>
  <cols>
    <col min="1" max="1" width="29.81640625" style="617" customWidth="1"/>
    <col min="2" max="2" width="24.81640625" style="617" customWidth="1"/>
    <col min="3" max="3" width="33.1796875" style="617" customWidth="1"/>
    <col min="4" max="4" width="30.54296875" style="617" customWidth="1"/>
    <col min="5" max="6" width="15.7265625" style="617" customWidth="1"/>
    <col min="7" max="7" width="28.1796875" style="617" customWidth="1"/>
    <col min="8" max="8" width="25" style="617" customWidth="1"/>
    <col min="9" max="9" width="15.7265625" style="617" customWidth="1"/>
    <col min="10" max="10" width="16.453125" style="617" customWidth="1"/>
    <col min="11" max="11" width="15.7265625" style="617" customWidth="1"/>
    <col min="12" max="12" width="17.453125" style="617" customWidth="1"/>
    <col min="13" max="16" width="15.7265625" style="617" customWidth="1"/>
    <col min="17" max="17" width="15.81640625" style="617" customWidth="1"/>
    <col min="18" max="18" width="11.453125" style="617" customWidth="1"/>
    <col min="19" max="19" width="21.453125" style="617" customWidth="1"/>
    <col min="20" max="16384" width="8.81640625" style="617"/>
  </cols>
  <sheetData>
    <row r="1" spans="1:10" ht="56.25" customHeight="1" thickBot="1" x14ac:dyDescent="0.4">
      <c r="A1" s="747" t="s">
        <v>617</v>
      </c>
      <c r="B1" s="1512" t="s">
        <v>618</v>
      </c>
      <c r="C1" s="1492"/>
      <c r="D1" s="1492"/>
      <c r="E1" s="1493"/>
      <c r="F1" s="1471" t="s">
        <v>318</v>
      </c>
      <c r="G1" s="1472"/>
      <c r="H1" s="1472"/>
      <c r="I1" s="1472"/>
      <c r="J1" s="1473"/>
    </row>
    <row r="2" spans="1:10" x14ac:dyDescent="0.35">
      <c r="B2" s="656"/>
      <c r="F2" s="657" t="s">
        <v>319</v>
      </c>
      <c r="G2" s="658"/>
      <c r="H2" s="660"/>
      <c r="I2" s="659" t="s">
        <v>321</v>
      </c>
      <c r="J2" s="661"/>
    </row>
    <row r="4" spans="1:10" ht="37" x14ac:dyDescent="0.35">
      <c r="B4" s="615" t="s">
        <v>324</v>
      </c>
    </row>
    <row r="5" spans="1:10" ht="21" x14ac:dyDescent="0.35">
      <c r="A5" s="749" t="s">
        <v>82</v>
      </c>
      <c r="B5" s="663">
        <f>G38</f>
        <v>0</v>
      </c>
    </row>
    <row r="6" spans="1:10" ht="21" x14ac:dyDescent="0.35">
      <c r="A6" s="749" t="s">
        <v>83</v>
      </c>
      <c r="B6" s="663">
        <f>SUM(G44:G45)</f>
        <v>0</v>
      </c>
    </row>
    <row r="7" spans="1:10" ht="21" x14ac:dyDescent="0.35">
      <c r="A7" s="749" t="s">
        <v>84</v>
      </c>
      <c r="B7" s="663">
        <f>SUM(G46:G48)</f>
        <v>0</v>
      </c>
    </row>
    <row r="8" spans="1:10" ht="21" x14ac:dyDescent="0.35">
      <c r="A8" s="749" t="s">
        <v>85</v>
      </c>
      <c r="B8" s="663">
        <f>SUM(G49:G50)</f>
        <v>0</v>
      </c>
      <c r="E8" s="885"/>
      <c r="J8" s="885"/>
    </row>
    <row r="9" spans="1:10" ht="21" x14ac:dyDescent="0.35">
      <c r="A9" s="749" t="s">
        <v>86</v>
      </c>
      <c r="B9" s="663">
        <f>SUM(G51:G52)</f>
        <v>0</v>
      </c>
      <c r="C9" s="886"/>
    </row>
    <row r="10" spans="1:10" ht="21" x14ac:dyDescent="0.35">
      <c r="A10" s="749" t="s">
        <v>87</v>
      </c>
      <c r="B10" s="663">
        <f t="shared" ref="B10:B18" si="0">G53</f>
        <v>0</v>
      </c>
      <c r="C10" s="886"/>
    </row>
    <row r="11" spans="1:10" ht="21" x14ac:dyDescent="0.35">
      <c r="A11" s="749" t="s">
        <v>89</v>
      </c>
      <c r="B11" s="663">
        <f t="shared" si="0"/>
        <v>0</v>
      </c>
      <c r="C11" s="886"/>
    </row>
    <row r="12" spans="1:10" ht="21" x14ac:dyDescent="0.35">
      <c r="A12" s="749" t="s">
        <v>90</v>
      </c>
      <c r="B12" s="663">
        <f t="shared" si="0"/>
        <v>0</v>
      </c>
      <c r="C12" s="886"/>
    </row>
    <row r="13" spans="1:10" ht="21" x14ac:dyDescent="0.35">
      <c r="A13" s="749" t="s">
        <v>91</v>
      </c>
      <c r="B13" s="663">
        <f t="shared" si="0"/>
        <v>0</v>
      </c>
      <c r="C13" s="886"/>
    </row>
    <row r="14" spans="1:10" ht="21" x14ac:dyDescent="0.35">
      <c r="A14" s="749" t="s">
        <v>92</v>
      </c>
      <c r="B14" s="663">
        <f t="shared" si="0"/>
        <v>0</v>
      </c>
      <c r="C14" s="886"/>
    </row>
    <row r="15" spans="1:10" ht="21" x14ac:dyDescent="0.35">
      <c r="A15" s="749" t="s">
        <v>93</v>
      </c>
      <c r="B15" s="663">
        <f t="shared" si="0"/>
        <v>0</v>
      </c>
    </row>
    <row r="16" spans="1:10" ht="21" x14ac:dyDescent="0.35">
      <c r="A16" s="749" t="s">
        <v>94</v>
      </c>
      <c r="B16" s="663">
        <f t="shared" si="0"/>
        <v>0</v>
      </c>
    </row>
    <row r="17" spans="1:17" ht="21" x14ac:dyDescent="0.35">
      <c r="A17" s="749" t="s">
        <v>95</v>
      </c>
      <c r="B17" s="663">
        <f t="shared" si="0"/>
        <v>0</v>
      </c>
    </row>
    <row r="18" spans="1:17" ht="21" x14ac:dyDescent="0.35">
      <c r="A18" s="749" t="s">
        <v>619</v>
      </c>
      <c r="B18" s="663">
        <f t="shared" si="0"/>
        <v>0</v>
      </c>
    </row>
    <row r="19" spans="1:17" ht="21" x14ac:dyDescent="0.35">
      <c r="A19" s="749" t="s">
        <v>97</v>
      </c>
      <c r="B19" s="663">
        <f>SUM(G62,C71)</f>
        <v>0</v>
      </c>
    </row>
    <row r="20" spans="1:17" ht="21" x14ac:dyDescent="0.35">
      <c r="A20" s="749" t="s">
        <v>327</v>
      </c>
      <c r="B20" s="623">
        <f>SUM(B5:B16)</f>
        <v>0</v>
      </c>
    </row>
    <row r="22" spans="1:17" s="664" customFormat="1" ht="36" x14ac:dyDescent="0.8">
      <c r="A22" s="1479" t="s">
        <v>82</v>
      </c>
      <c r="B22" s="1480"/>
      <c r="C22" s="1480"/>
      <c r="D22" s="1480"/>
      <c r="E22" s="1480"/>
      <c r="F22" s="1480"/>
      <c r="G22" s="1480"/>
      <c r="H22" s="1480"/>
      <c r="I22" s="1480"/>
      <c r="J22" s="1480"/>
      <c r="K22" s="1480"/>
      <c r="L22" s="1480"/>
      <c r="M22" s="1480"/>
      <c r="N22" s="1480"/>
      <c r="O22" s="1480"/>
      <c r="P22" s="1480"/>
      <c r="Q22" s="1481"/>
    </row>
    <row r="23" spans="1:17" x14ac:dyDescent="0.35">
      <c r="A23" s="845"/>
    </row>
    <row r="24" spans="1:17" s="667" customFormat="1" ht="24" thickBot="1" x14ac:dyDescent="0.6">
      <c r="A24" s="648"/>
      <c r="C24" s="1477" t="s">
        <v>330</v>
      </c>
      <c r="D24" s="1478"/>
    </row>
    <row r="25" spans="1:17" s="794" customFormat="1" ht="55.5" x14ac:dyDescent="0.35">
      <c r="A25" s="887" t="s">
        <v>620</v>
      </c>
      <c r="B25" s="887" t="s">
        <v>621</v>
      </c>
      <c r="C25" s="730" t="s">
        <v>622</v>
      </c>
      <c r="D25" s="615" t="s">
        <v>623</v>
      </c>
      <c r="E25" s="730" t="s">
        <v>624</v>
      </c>
      <c r="F25" s="730" t="s">
        <v>625</v>
      </c>
      <c r="G25" s="616" t="s">
        <v>626</v>
      </c>
    </row>
    <row r="26" spans="1:17" x14ac:dyDescent="0.35">
      <c r="A26" s="361"/>
      <c r="B26" s="361"/>
      <c r="C26" s="888">
        <f>A26*B26</f>
        <v>0</v>
      </c>
      <c r="D26" s="663">
        <f>C26/907.185</f>
        <v>0</v>
      </c>
      <c r="E26" s="889"/>
      <c r="F26" s="889"/>
      <c r="G26" s="624">
        <f>SUM((D26*E26*'Emission Factors'!$E$589)+(D26*F26*'Emission Factors'!$F$589))</f>
        <v>0</v>
      </c>
      <c r="H26" s="693"/>
    </row>
    <row r="27" spans="1:17" x14ac:dyDescent="0.35">
      <c r="A27" s="361"/>
      <c r="B27" s="361"/>
      <c r="C27" s="888">
        <f t="shared" ref="C27:C37" si="1">A27*B27</f>
        <v>0</v>
      </c>
      <c r="D27" s="663">
        <f t="shared" ref="D27:D37" si="2">C27/907.185</f>
        <v>0</v>
      </c>
      <c r="E27" s="889"/>
      <c r="F27" s="889"/>
      <c r="G27" s="624">
        <f>SUM((D27*E27*'Emission Factors'!$E$589)+(D27*F27*'Emission Factors'!$F$589))</f>
        <v>0</v>
      </c>
      <c r="H27" s="693"/>
    </row>
    <row r="28" spans="1:17" x14ac:dyDescent="0.35">
      <c r="A28" s="361"/>
      <c r="B28" s="361"/>
      <c r="C28" s="888">
        <f t="shared" si="1"/>
        <v>0</v>
      </c>
      <c r="D28" s="663">
        <f t="shared" si="2"/>
        <v>0</v>
      </c>
      <c r="E28" s="889"/>
      <c r="F28" s="889"/>
      <c r="G28" s="624">
        <f>SUM((D28*E28*'Emission Factors'!$E$589)+(D28*F28*'Emission Factors'!$F$589))</f>
        <v>0</v>
      </c>
      <c r="H28" s="693"/>
    </row>
    <row r="29" spans="1:17" x14ac:dyDescent="0.35">
      <c r="A29" s="361"/>
      <c r="B29" s="361"/>
      <c r="C29" s="888">
        <f t="shared" si="1"/>
        <v>0</v>
      </c>
      <c r="D29" s="663">
        <f t="shared" si="2"/>
        <v>0</v>
      </c>
      <c r="E29" s="889"/>
      <c r="F29" s="889"/>
      <c r="G29" s="624">
        <f>SUM((D29*E29*'Emission Factors'!$E$589)+(D29*F29*'Emission Factors'!$F$589))</f>
        <v>0</v>
      </c>
      <c r="H29" s="693"/>
    </row>
    <row r="30" spans="1:17" x14ac:dyDescent="0.35">
      <c r="A30" s="361"/>
      <c r="B30" s="361"/>
      <c r="C30" s="888">
        <f t="shared" si="1"/>
        <v>0</v>
      </c>
      <c r="D30" s="663">
        <f t="shared" si="2"/>
        <v>0</v>
      </c>
      <c r="E30" s="889"/>
      <c r="F30" s="889"/>
      <c r="G30" s="624">
        <f>SUM((D30*E30*'Emission Factors'!$E$589)+(D30*F30*'Emission Factors'!$F$589))</f>
        <v>0</v>
      </c>
      <c r="H30" s="693"/>
    </row>
    <row r="31" spans="1:17" x14ac:dyDescent="0.35">
      <c r="A31" s="361"/>
      <c r="B31" s="361"/>
      <c r="C31" s="888">
        <f t="shared" si="1"/>
        <v>0</v>
      </c>
      <c r="D31" s="663">
        <f t="shared" si="2"/>
        <v>0</v>
      </c>
      <c r="E31" s="889"/>
      <c r="F31" s="889"/>
      <c r="G31" s="624">
        <f>SUM((D31*E31*'Emission Factors'!$E$589)+(D31*F31*'Emission Factors'!$F$589))</f>
        <v>0</v>
      </c>
      <c r="H31" s="693"/>
    </row>
    <row r="32" spans="1:17" x14ac:dyDescent="0.35">
      <c r="A32" s="361"/>
      <c r="B32" s="361"/>
      <c r="C32" s="888">
        <f t="shared" si="1"/>
        <v>0</v>
      </c>
      <c r="D32" s="663">
        <f t="shared" si="2"/>
        <v>0</v>
      </c>
      <c r="E32" s="889"/>
      <c r="F32" s="889"/>
      <c r="G32" s="624">
        <f>SUM((D32*E32*'Emission Factors'!$E$589)+(D32*F32*'Emission Factors'!$F$589))</f>
        <v>0</v>
      </c>
      <c r="H32" s="693"/>
    </row>
    <row r="33" spans="1:17" x14ac:dyDescent="0.35">
      <c r="A33" s="361"/>
      <c r="B33" s="361"/>
      <c r="C33" s="888">
        <f t="shared" si="1"/>
        <v>0</v>
      </c>
      <c r="D33" s="663">
        <f t="shared" si="2"/>
        <v>0</v>
      </c>
      <c r="E33" s="889"/>
      <c r="F33" s="889"/>
      <c r="G33" s="624">
        <f>SUM((D33*E33*'Emission Factors'!$E$589)+(D33*F33*'Emission Factors'!$F$589))</f>
        <v>0</v>
      </c>
      <c r="H33" s="693"/>
    </row>
    <row r="34" spans="1:17" x14ac:dyDescent="0.35">
      <c r="A34" s="361"/>
      <c r="B34" s="361"/>
      <c r="C34" s="888">
        <f t="shared" si="1"/>
        <v>0</v>
      </c>
      <c r="D34" s="663">
        <f t="shared" si="2"/>
        <v>0</v>
      </c>
      <c r="E34" s="889"/>
      <c r="F34" s="889"/>
      <c r="G34" s="624">
        <f>SUM((D34*E34*'Emission Factors'!$E$589)+(D34*F34*'Emission Factors'!$F$589))</f>
        <v>0</v>
      </c>
      <c r="H34" s="693"/>
    </row>
    <row r="35" spans="1:17" x14ac:dyDescent="0.35">
      <c r="A35" s="361"/>
      <c r="B35" s="361"/>
      <c r="C35" s="888">
        <f t="shared" si="1"/>
        <v>0</v>
      </c>
      <c r="D35" s="663">
        <f t="shared" si="2"/>
        <v>0</v>
      </c>
      <c r="E35" s="889"/>
      <c r="F35" s="889"/>
      <c r="G35" s="624">
        <f>SUM((D35*E35*'Emission Factors'!$E$589)+(D35*F35*'Emission Factors'!$F$589))</f>
        <v>0</v>
      </c>
      <c r="H35" s="693"/>
    </row>
    <row r="36" spans="1:17" x14ac:dyDescent="0.35">
      <c r="A36" s="361"/>
      <c r="B36" s="361"/>
      <c r="C36" s="888">
        <f t="shared" si="1"/>
        <v>0</v>
      </c>
      <c r="D36" s="663">
        <f t="shared" si="2"/>
        <v>0</v>
      </c>
      <c r="E36" s="889"/>
      <c r="F36" s="889"/>
      <c r="G36" s="624">
        <f>SUM((D36*E36*'Emission Factors'!$E$589)+(D36*F36*'Emission Factors'!$F$589))</f>
        <v>0</v>
      </c>
      <c r="H36" s="693"/>
    </row>
    <row r="37" spans="1:17" ht="16" thickBot="1" x14ac:dyDescent="0.4">
      <c r="A37" s="361"/>
      <c r="B37" s="361"/>
      <c r="C37" s="888">
        <f t="shared" si="1"/>
        <v>0</v>
      </c>
      <c r="D37" s="663">
        <f t="shared" si="2"/>
        <v>0</v>
      </c>
      <c r="E37" s="889"/>
      <c r="F37" s="890"/>
      <c r="G37" s="891">
        <f>SUM((D37*E37*'Emission Factors'!$E$589)+(D37*F37*'Emission Factors'!$F$589))</f>
        <v>0</v>
      </c>
      <c r="H37" s="693"/>
    </row>
    <row r="38" spans="1:17" ht="16" thickBot="1" x14ac:dyDescent="0.4">
      <c r="A38" s="646"/>
      <c r="B38" s="892"/>
      <c r="C38" s="893"/>
      <c r="F38" s="894" t="s">
        <v>1699</v>
      </c>
      <c r="G38" s="711">
        <f>SUM(G26:G37)</f>
        <v>0</v>
      </c>
      <c r="H38" s="633"/>
    </row>
    <row r="39" spans="1:17" x14ac:dyDescent="0.35">
      <c r="A39" s="646"/>
      <c r="B39" s="892"/>
      <c r="C39" s="893"/>
      <c r="F39" s="634"/>
      <c r="G39" s="634"/>
      <c r="H39" s="633"/>
    </row>
    <row r="40" spans="1:17" s="664" customFormat="1" ht="36" x14ac:dyDescent="0.8">
      <c r="A40" s="1479" t="s">
        <v>627</v>
      </c>
      <c r="B40" s="1480"/>
      <c r="C40" s="1480"/>
      <c r="D40" s="1480"/>
      <c r="E40" s="1480"/>
      <c r="F40" s="1480"/>
      <c r="G40" s="1480"/>
      <c r="H40" s="1480"/>
      <c r="I40" s="1480"/>
      <c r="J40" s="1480"/>
      <c r="K40" s="1480"/>
      <c r="L40" s="1480"/>
      <c r="M40" s="1480"/>
      <c r="N40" s="1480"/>
      <c r="O40" s="1480"/>
      <c r="P40" s="1480"/>
      <c r="Q40" s="1481"/>
    </row>
    <row r="41" spans="1:17" x14ac:dyDescent="0.35">
      <c r="A41" s="646"/>
      <c r="B41" s="892"/>
      <c r="C41" s="893"/>
      <c r="F41" s="634"/>
      <c r="G41" s="634"/>
      <c r="H41" s="633"/>
    </row>
    <row r="42" spans="1:17" s="667" customFormat="1" ht="24" thickBot="1" x14ac:dyDescent="0.6">
      <c r="A42" s="647"/>
      <c r="B42" s="895"/>
      <c r="C42" s="1477" t="s">
        <v>330</v>
      </c>
      <c r="D42" s="1478"/>
      <c r="F42" s="851"/>
      <c r="G42" s="851"/>
      <c r="H42" s="691"/>
    </row>
    <row r="43" spans="1:17" s="668" customFormat="1" ht="37" x14ac:dyDescent="0.45">
      <c r="A43" s="615" t="s">
        <v>628</v>
      </c>
      <c r="B43" s="615" t="s">
        <v>629</v>
      </c>
      <c r="C43" s="615" t="s">
        <v>630</v>
      </c>
      <c r="D43" s="615" t="s">
        <v>631</v>
      </c>
      <c r="E43" s="615" t="s">
        <v>632</v>
      </c>
      <c r="F43" s="615" t="s">
        <v>633</v>
      </c>
      <c r="G43" s="616" t="s">
        <v>626</v>
      </c>
      <c r="J43" s="786"/>
    </row>
    <row r="44" spans="1:17" x14ac:dyDescent="0.35">
      <c r="A44" s="896" t="s">
        <v>635</v>
      </c>
      <c r="B44" s="897"/>
      <c r="C44" s="897"/>
      <c r="D44" s="898">
        <f>B44*C44</f>
        <v>0</v>
      </c>
      <c r="E44" s="898">
        <f>D44/1000</f>
        <v>0</v>
      </c>
      <c r="F44" s="663">
        <f>E44/1000</f>
        <v>0</v>
      </c>
      <c r="G44" s="899">
        <f>F44*'Emission Factors'!C589</f>
        <v>0</v>
      </c>
    </row>
    <row r="45" spans="1:17" x14ac:dyDescent="0.35">
      <c r="A45" s="896" t="s">
        <v>636</v>
      </c>
      <c r="B45" s="897"/>
      <c r="C45" s="897"/>
      <c r="D45" s="898">
        <f t="shared" ref="D45:D62" si="3">B45*C45</f>
        <v>0</v>
      </c>
      <c r="E45" s="898">
        <f t="shared" ref="E45:F59" si="4">D45/1000</f>
        <v>0</v>
      </c>
      <c r="F45" s="663">
        <f t="shared" si="4"/>
        <v>0</v>
      </c>
      <c r="G45" s="899">
        <f>F45*'Emission Factors'!C590</f>
        <v>0</v>
      </c>
    </row>
    <row r="46" spans="1:17" x14ac:dyDescent="0.35">
      <c r="A46" s="896" t="s">
        <v>637</v>
      </c>
      <c r="B46" s="897"/>
      <c r="C46" s="897"/>
      <c r="D46" s="898">
        <f t="shared" si="3"/>
        <v>0</v>
      </c>
      <c r="E46" s="898">
        <f t="shared" si="4"/>
        <v>0</v>
      </c>
      <c r="F46" s="663">
        <f t="shared" si="4"/>
        <v>0</v>
      </c>
      <c r="G46" s="899">
        <f>F46*'Emission Factors'!C591</f>
        <v>0</v>
      </c>
    </row>
    <row r="47" spans="1:17" x14ac:dyDescent="0.35">
      <c r="A47" s="896" t="s">
        <v>638</v>
      </c>
      <c r="B47" s="897"/>
      <c r="C47" s="897"/>
      <c r="D47" s="898">
        <f t="shared" si="3"/>
        <v>0</v>
      </c>
      <c r="E47" s="898">
        <f t="shared" si="4"/>
        <v>0</v>
      </c>
      <c r="F47" s="663">
        <f t="shared" si="4"/>
        <v>0</v>
      </c>
      <c r="G47" s="899">
        <f>F47*'Emission Factors'!C592</f>
        <v>0</v>
      </c>
    </row>
    <row r="48" spans="1:17" x14ac:dyDescent="0.35">
      <c r="A48" s="896" t="s">
        <v>639</v>
      </c>
      <c r="B48" s="897"/>
      <c r="C48" s="897"/>
      <c r="D48" s="898">
        <f t="shared" si="3"/>
        <v>0</v>
      </c>
      <c r="E48" s="898">
        <f t="shared" si="4"/>
        <v>0</v>
      </c>
      <c r="F48" s="663">
        <f t="shared" si="4"/>
        <v>0</v>
      </c>
      <c r="G48" s="899">
        <f>F48*'Emission Factors'!C593</f>
        <v>0</v>
      </c>
    </row>
    <row r="49" spans="1:7" x14ac:dyDescent="0.35">
      <c r="A49" s="896" t="s">
        <v>640</v>
      </c>
      <c r="B49" s="897"/>
      <c r="C49" s="897"/>
      <c r="D49" s="898">
        <f t="shared" si="3"/>
        <v>0</v>
      </c>
      <c r="E49" s="898">
        <f t="shared" si="4"/>
        <v>0</v>
      </c>
      <c r="F49" s="663">
        <f t="shared" si="4"/>
        <v>0</v>
      </c>
      <c r="G49" s="899">
        <f>F49*'Emission Factors'!C594</f>
        <v>0</v>
      </c>
    </row>
    <row r="50" spans="1:7" x14ac:dyDescent="0.35">
      <c r="A50" s="896" t="s">
        <v>641</v>
      </c>
      <c r="B50" s="897"/>
      <c r="C50" s="897"/>
      <c r="D50" s="898">
        <f t="shared" ref="D50:D57" si="5">B50*C50</f>
        <v>0</v>
      </c>
      <c r="E50" s="898">
        <f t="shared" si="4"/>
        <v>0</v>
      </c>
      <c r="F50" s="663">
        <f t="shared" si="4"/>
        <v>0</v>
      </c>
      <c r="G50" s="899">
        <f>F50*'Emission Factors'!C595</f>
        <v>0</v>
      </c>
    </row>
    <row r="51" spans="1:7" x14ac:dyDescent="0.35">
      <c r="A51" s="628" t="s">
        <v>642</v>
      </c>
      <c r="B51" s="897"/>
      <c r="C51" s="897"/>
      <c r="D51" s="898">
        <f t="shared" si="3"/>
        <v>0</v>
      </c>
      <c r="E51" s="898">
        <f t="shared" si="4"/>
        <v>0</v>
      </c>
      <c r="F51" s="663">
        <f t="shared" si="4"/>
        <v>0</v>
      </c>
      <c r="G51" s="899">
        <f>F51*'Emission Factors'!C596</f>
        <v>0</v>
      </c>
    </row>
    <row r="52" spans="1:7" x14ac:dyDescent="0.35">
      <c r="A52" s="628" t="s">
        <v>643</v>
      </c>
      <c r="B52" s="897"/>
      <c r="C52" s="897"/>
      <c r="D52" s="898">
        <f t="shared" si="3"/>
        <v>0</v>
      </c>
      <c r="E52" s="898">
        <f t="shared" si="4"/>
        <v>0</v>
      </c>
      <c r="F52" s="663">
        <f t="shared" si="4"/>
        <v>0</v>
      </c>
      <c r="G52" s="899">
        <f>F52*'Emission Factors'!C597</f>
        <v>0</v>
      </c>
    </row>
    <row r="53" spans="1:7" x14ac:dyDescent="0.35">
      <c r="A53" s="896" t="s">
        <v>87</v>
      </c>
      <c r="B53" s="897"/>
      <c r="C53" s="897"/>
      <c r="D53" s="898">
        <f t="shared" si="3"/>
        <v>0</v>
      </c>
      <c r="E53" s="898">
        <f t="shared" si="4"/>
        <v>0</v>
      </c>
      <c r="F53" s="663">
        <f t="shared" si="4"/>
        <v>0</v>
      </c>
      <c r="G53" s="899">
        <f>F53*'Emission Factors'!C598</f>
        <v>0</v>
      </c>
    </row>
    <row r="54" spans="1:7" x14ac:dyDescent="0.35">
      <c r="A54" s="896" t="s">
        <v>89</v>
      </c>
      <c r="B54" s="897"/>
      <c r="C54" s="897"/>
      <c r="D54" s="898">
        <f t="shared" si="3"/>
        <v>0</v>
      </c>
      <c r="E54" s="898">
        <f t="shared" si="4"/>
        <v>0</v>
      </c>
      <c r="F54" s="663">
        <f t="shared" si="4"/>
        <v>0</v>
      </c>
      <c r="G54" s="899">
        <f>F54*'Emission Factors'!C599</f>
        <v>0</v>
      </c>
    </row>
    <row r="55" spans="1:7" x14ac:dyDescent="0.35">
      <c r="A55" s="896" t="s">
        <v>90</v>
      </c>
      <c r="B55" s="897"/>
      <c r="C55" s="897"/>
      <c r="D55" s="898">
        <f t="shared" si="3"/>
        <v>0</v>
      </c>
      <c r="E55" s="898">
        <f t="shared" si="4"/>
        <v>0</v>
      </c>
      <c r="F55" s="663">
        <f t="shared" si="4"/>
        <v>0</v>
      </c>
      <c r="G55" s="899">
        <f>F55*'Emission Factors'!C600</f>
        <v>0</v>
      </c>
    </row>
    <row r="56" spans="1:7" x14ac:dyDescent="0.35">
      <c r="A56" s="896" t="s">
        <v>91</v>
      </c>
      <c r="B56" s="897"/>
      <c r="C56" s="897"/>
      <c r="D56" s="898">
        <f t="shared" si="3"/>
        <v>0</v>
      </c>
      <c r="E56" s="898">
        <f t="shared" si="4"/>
        <v>0</v>
      </c>
      <c r="F56" s="663">
        <f t="shared" si="4"/>
        <v>0</v>
      </c>
      <c r="G56" s="899">
        <f>F56*'Emission Factors'!C601</f>
        <v>0</v>
      </c>
    </row>
    <row r="57" spans="1:7" x14ac:dyDescent="0.35">
      <c r="A57" s="896" t="s">
        <v>92</v>
      </c>
      <c r="B57" s="897"/>
      <c r="C57" s="897"/>
      <c r="D57" s="898">
        <f t="shared" si="5"/>
        <v>0</v>
      </c>
      <c r="E57" s="898">
        <f t="shared" si="4"/>
        <v>0</v>
      </c>
      <c r="F57" s="663">
        <f t="shared" si="4"/>
        <v>0</v>
      </c>
      <c r="G57" s="899">
        <f>F57*'Emission Factors'!C602</f>
        <v>0</v>
      </c>
    </row>
    <row r="58" spans="1:7" x14ac:dyDescent="0.35">
      <c r="A58" s="896" t="s">
        <v>93</v>
      </c>
      <c r="B58" s="897"/>
      <c r="C58" s="897"/>
      <c r="D58" s="898">
        <f t="shared" si="3"/>
        <v>0</v>
      </c>
      <c r="E58" s="898">
        <f t="shared" si="4"/>
        <v>0</v>
      </c>
      <c r="F58" s="663">
        <f t="shared" si="4"/>
        <v>0</v>
      </c>
      <c r="G58" s="899">
        <f>F58*'Emission Factors'!C603</f>
        <v>0</v>
      </c>
    </row>
    <row r="59" spans="1:7" x14ac:dyDescent="0.35">
      <c r="A59" s="896" t="s">
        <v>94</v>
      </c>
      <c r="B59" s="897"/>
      <c r="C59" s="897"/>
      <c r="D59" s="898">
        <f t="shared" si="3"/>
        <v>0</v>
      </c>
      <c r="E59" s="898">
        <f t="shared" si="4"/>
        <v>0</v>
      </c>
      <c r="F59" s="663">
        <f t="shared" si="4"/>
        <v>0</v>
      </c>
      <c r="G59" s="899">
        <f>F59*'Emission Factors'!C604</f>
        <v>0</v>
      </c>
    </row>
    <row r="60" spans="1:7" x14ac:dyDescent="0.35">
      <c r="A60" s="896" t="s">
        <v>95</v>
      </c>
      <c r="B60" s="897"/>
      <c r="C60" s="897"/>
      <c r="D60" s="898">
        <f t="shared" si="3"/>
        <v>0</v>
      </c>
      <c r="E60" s="898">
        <f t="shared" ref="E60:E62" si="6">D60*0.0625</f>
        <v>0</v>
      </c>
      <c r="F60" s="663">
        <f t="shared" ref="F60:F62" si="7">E60*0.000453592</f>
        <v>0</v>
      </c>
      <c r="G60" s="899">
        <f>F60*'Emission Factors'!C605</f>
        <v>0</v>
      </c>
    </row>
    <row r="61" spans="1:7" x14ac:dyDescent="0.35">
      <c r="A61" s="896" t="s">
        <v>644</v>
      </c>
      <c r="B61" s="897"/>
      <c r="C61" s="897"/>
      <c r="D61" s="898">
        <f t="shared" si="3"/>
        <v>0</v>
      </c>
      <c r="E61" s="898">
        <f t="shared" si="6"/>
        <v>0</v>
      </c>
      <c r="F61" s="663">
        <f t="shared" si="7"/>
        <v>0</v>
      </c>
      <c r="G61" s="899">
        <f>F61*'Emission Factors'!C606</f>
        <v>0</v>
      </c>
    </row>
    <row r="62" spans="1:7" ht="16" thickBot="1" x14ac:dyDescent="0.4">
      <c r="A62" s="896" t="s">
        <v>97</v>
      </c>
      <c r="B62" s="897"/>
      <c r="C62" s="897"/>
      <c r="D62" s="898">
        <f t="shared" si="3"/>
        <v>0</v>
      </c>
      <c r="E62" s="898">
        <f t="shared" si="6"/>
        <v>0</v>
      </c>
      <c r="F62" s="663">
        <f t="shared" si="7"/>
        <v>0</v>
      </c>
      <c r="G62" s="900">
        <f>F62*'Emission Factors'!C607</f>
        <v>0</v>
      </c>
    </row>
    <row r="63" spans="1:7" x14ac:dyDescent="0.35">
      <c r="A63" s="693" t="s">
        <v>1743</v>
      </c>
    </row>
    <row r="65" spans="1:4" ht="21" x14ac:dyDescent="0.5">
      <c r="A65" s="901" t="s">
        <v>1744</v>
      </c>
    </row>
    <row r="66" spans="1:4" ht="16" thickBot="1" x14ac:dyDescent="0.4">
      <c r="A66" s="693" t="s">
        <v>1742</v>
      </c>
    </row>
    <row r="67" spans="1:4" ht="31" x14ac:dyDescent="0.35">
      <c r="A67" s="902"/>
      <c r="B67" s="902" t="s">
        <v>1728</v>
      </c>
      <c r="C67" s="742" t="s">
        <v>1729</v>
      </c>
    </row>
    <row r="68" spans="1:4" x14ac:dyDescent="0.35">
      <c r="A68" s="896" t="s">
        <v>1730</v>
      </c>
      <c r="B68" s="897"/>
      <c r="C68" s="903">
        <f>B68*'Emission Factors'!G617*0.001</f>
        <v>0</v>
      </c>
    </row>
    <row r="69" spans="1:4" x14ac:dyDescent="0.35">
      <c r="A69" s="896" t="s">
        <v>1731</v>
      </c>
      <c r="B69" s="897"/>
      <c r="C69" s="903">
        <f>B69*'Emission Factors'!G618*0.001</f>
        <v>0</v>
      </c>
    </row>
    <row r="70" spans="1:4" ht="16" thickBot="1" x14ac:dyDescent="0.4">
      <c r="A70" s="896" t="s">
        <v>1732</v>
      </c>
      <c r="B70" s="897"/>
      <c r="C70" s="903">
        <f>B70*'Emission Factors'!G619*0.001</f>
        <v>0</v>
      </c>
    </row>
    <row r="71" spans="1:4" ht="16" thickBot="1" x14ac:dyDescent="0.4">
      <c r="B71" s="904" t="s">
        <v>327</v>
      </c>
      <c r="C71" s="905">
        <f>SUM(C68:C70)</f>
        <v>0</v>
      </c>
    </row>
    <row r="72" spans="1:4" s="689" customFormat="1" ht="14.5" x14ac:dyDescent="0.35"/>
    <row r="73" spans="1:4" s="668" customFormat="1" ht="37" x14ac:dyDescent="0.45">
      <c r="A73" s="906" t="s">
        <v>37</v>
      </c>
      <c r="B73" s="907" t="s">
        <v>645</v>
      </c>
      <c r="C73" s="907" t="s">
        <v>646</v>
      </c>
      <c r="D73" s="906" t="s">
        <v>647</v>
      </c>
    </row>
    <row r="74" spans="1:4" x14ac:dyDescent="0.35">
      <c r="A74" s="628" t="s">
        <v>648</v>
      </c>
      <c r="B74" s="908">
        <v>0.17599999999999999</v>
      </c>
      <c r="C74" s="908">
        <f>B74*28.34952</f>
        <v>4.9895155199999994</v>
      </c>
      <c r="D74" s="628" t="s">
        <v>649</v>
      </c>
    </row>
    <row r="75" spans="1:4" x14ac:dyDescent="0.35">
      <c r="A75" s="628" t="s">
        <v>650</v>
      </c>
      <c r="B75" s="908">
        <v>3.2000000000000001E-2</v>
      </c>
      <c r="C75" s="908">
        <f t="shared" ref="C75:C88" si="8">B75*28.34952</f>
        <v>0.90718463999999999</v>
      </c>
      <c r="D75" s="628" t="s">
        <v>651</v>
      </c>
    </row>
    <row r="76" spans="1:4" x14ac:dyDescent="0.35">
      <c r="A76" s="628" t="s">
        <v>652</v>
      </c>
      <c r="B76" s="908">
        <v>0.24</v>
      </c>
      <c r="C76" s="908">
        <f t="shared" si="8"/>
        <v>6.8038847999999996</v>
      </c>
      <c r="D76" s="628" t="s">
        <v>653</v>
      </c>
    </row>
    <row r="77" spans="1:4" x14ac:dyDescent="0.35">
      <c r="A77" s="628" t="s">
        <v>654</v>
      </c>
      <c r="B77" s="908">
        <v>0.16</v>
      </c>
      <c r="C77" s="908">
        <f t="shared" si="8"/>
        <v>4.5359232</v>
      </c>
      <c r="D77" s="628" t="s">
        <v>655</v>
      </c>
    </row>
    <row r="78" spans="1:4" x14ac:dyDescent="0.35">
      <c r="A78" s="628" t="s">
        <v>640</v>
      </c>
      <c r="B78" s="908">
        <v>9.6</v>
      </c>
      <c r="C78" s="908">
        <f t="shared" si="8"/>
        <v>272.15539199999995</v>
      </c>
      <c r="D78" s="628" t="s">
        <v>656</v>
      </c>
    </row>
    <row r="79" spans="1:4" x14ac:dyDescent="0.35">
      <c r="A79" s="628" t="s">
        <v>641</v>
      </c>
      <c r="B79" s="908">
        <v>12.8</v>
      </c>
      <c r="C79" s="908">
        <f t="shared" si="8"/>
        <v>362.87385599999999</v>
      </c>
      <c r="D79" s="628" t="s">
        <v>657</v>
      </c>
    </row>
    <row r="80" spans="1:4" x14ac:dyDescent="0.35">
      <c r="A80" s="628" t="s">
        <v>642</v>
      </c>
      <c r="B80" s="908">
        <v>4</v>
      </c>
      <c r="C80" s="908">
        <f t="shared" si="8"/>
        <v>113.39807999999999</v>
      </c>
      <c r="D80" s="628" t="s">
        <v>658</v>
      </c>
    </row>
    <row r="81" spans="1:4" x14ac:dyDescent="0.35">
      <c r="A81" s="628" t="s">
        <v>643</v>
      </c>
      <c r="B81" s="908">
        <v>7.2</v>
      </c>
      <c r="C81" s="908">
        <f t="shared" si="8"/>
        <v>204.116544</v>
      </c>
      <c r="D81" s="628" t="s">
        <v>659</v>
      </c>
    </row>
    <row r="82" spans="1:4" x14ac:dyDescent="0.35">
      <c r="A82" s="628" t="s">
        <v>660</v>
      </c>
      <c r="B82" s="908">
        <v>8.5999999999999993E-2</v>
      </c>
      <c r="C82" s="908">
        <f t="shared" si="8"/>
        <v>2.4380587199999995</v>
      </c>
      <c r="D82" s="628" t="s">
        <v>661</v>
      </c>
    </row>
    <row r="83" spans="1:4" x14ac:dyDescent="0.35">
      <c r="A83" s="628" t="s">
        <v>662</v>
      </c>
      <c r="B83" s="908">
        <v>227.2</v>
      </c>
      <c r="C83" s="908">
        <f t="shared" si="8"/>
        <v>6441.0109439999997</v>
      </c>
      <c r="D83" s="628" t="s">
        <v>663</v>
      </c>
    </row>
    <row r="84" spans="1:4" x14ac:dyDescent="0.35">
      <c r="A84" s="628" t="s">
        <v>90</v>
      </c>
      <c r="B84" s="908">
        <v>16</v>
      </c>
      <c r="C84" s="908">
        <f t="shared" si="8"/>
        <v>453.59231999999997</v>
      </c>
      <c r="D84" s="628" t="s">
        <v>664</v>
      </c>
    </row>
    <row r="85" spans="1:4" x14ac:dyDescent="0.35">
      <c r="A85" s="628" t="s">
        <v>665</v>
      </c>
      <c r="B85" s="908">
        <v>3.5008000000000004E-2</v>
      </c>
      <c r="C85" s="908">
        <f t="shared" si="8"/>
        <v>0.99245999616000002</v>
      </c>
      <c r="D85" s="628" t="s">
        <v>666</v>
      </c>
    </row>
    <row r="86" spans="1:4" x14ac:dyDescent="0.35">
      <c r="A86" s="628" t="s">
        <v>89</v>
      </c>
      <c r="B86" s="908">
        <v>928</v>
      </c>
      <c r="C86" s="908">
        <f t="shared" si="8"/>
        <v>26308.35456</v>
      </c>
      <c r="D86" s="628" t="s">
        <v>667</v>
      </c>
    </row>
    <row r="87" spans="1:4" ht="31" x14ac:dyDescent="0.35">
      <c r="A87" s="628" t="s">
        <v>668</v>
      </c>
      <c r="B87" s="908">
        <v>99.2</v>
      </c>
      <c r="C87" s="908">
        <f t="shared" si="8"/>
        <v>2812.2723839999999</v>
      </c>
      <c r="D87" s="628" t="s">
        <v>669</v>
      </c>
    </row>
    <row r="88" spans="1:4" ht="31" x14ac:dyDescent="0.35">
      <c r="A88" s="628" t="s">
        <v>82</v>
      </c>
      <c r="B88" s="908">
        <v>19.600000000000001</v>
      </c>
      <c r="C88" s="908">
        <f t="shared" si="8"/>
        <v>555.65059199999996</v>
      </c>
      <c r="D88" s="628" t="s">
        <v>670</v>
      </c>
    </row>
    <row r="89" spans="1:4" x14ac:dyDescent="0.35">
      <c r="A89" s="909" t="s">
        <v>671</v>
      </c>
    </row>
  </sheetData>
  <sheetProtection algorithmName="SHA-512" hashValue="skV6jP9WdDZ88KTkI1COZ1Xog+UZuD2naKlnGiw+Qh+njAramJ6N2JaFQaa/ua4BQqAMeJp8UNm0ZFCVXzuSzg==" saltValue="B9fZoE0PGbzjHSecNeqDFw==" spinCount="100000" sheet="1"/>
  <mergeCells count="6">
    <mergeCell ref="C42:D42"/>
    <mergeCell ref="F1:J1"/>
    <mergeCell ref="A22:Q22"/>
    <mergeCell ref="A40:Q40"/>
    <mergeCell ref="B1:E1"/>
    <mergeCell ref="C24:D24"/>
  </mergeCells>
  <phoneticPr fontId="38" type="noConversion"/>
  <pageMargins left="0.7" right="0.7" top="0.75" bottom="0.75" header="0.3" footer="0.3"/>
  <pageSetup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AJ802"/>
  <sheetViews>
    <sheetView topLeftCell="A124" zoomScale="60" zoomScaleNormal="60" workbookViewId="0">
      <selection activeCell="C156" sqref="C156"/>
    </sheetView>
  </sheetViews>
  <sheetFormatPr baseColWidth="10" defaultColWidth="8.81640625" defaultRowHeight="15.5" x14ac:dyDescent="0.35"/>
  <cols>
    <col min="1" max="1" width="39.81640625" style="617" customWidth="1"/>
    <col min="2" max="5" width="34" style="617" customWidth="1"/>
    <col min="6" max="6" width="45.81640625" style="617" bestFit="1" customWidth="1"/>
    <col min="7" max="7" width="44.1796875" style="617" bestFit="1" customWidth="1"/>
    <col min="8" max="8" width="19.26953125" style="617" customWidth="1"/>
    <col min="9" max="9" width="19.1796875" style="617" bestFit="1" customWidth="1"/>
    <col min="10" max="10" width="9.453125" style="617" customWidth="1"/>
    <col min="11" max="11" width="15" style="617" customWidth="1"/>
    <col min="12" max="12" width="15.1796875" style="617" customWidth="1"/>
    <col min="13" max="13" width="10.7265625" style="617" customWidth="1"/>
    <col min="14" max="14" width="11.7265625" style="617" customWidth="1"/>
    <col min="15" max="15" width="12.54296875" style="617" customWidth="1"/>
    <col min="16" max="16" width="10.54296875" style="617" customWidth="1"/>
    <col min="17" max="16384" width="8.81640625" style="617"/>
  </cols>
  <sheetData>
    <row r="1" spans="1:17" ht="109.5" customHeight="1" thickBot="1" x14ac:dyDescent="0.4">
      <c r="A1" s="654" t="s">
        <v>672</v>
      </c>
      <c r="B1" s="1486" t="s">
        <v>673</v>
      </c>
      <c r="C1" s="1487"/>
      <c r="D1" s="1487"/>
      <c r="E1" s="1487"/>
      <c r="F1" s="1487"/>
      <c r="G1" s="1488"/>
      <c r="L1" s="1471" t="s">
        <v>318</v>
      </c>
      <c r="M1" s="1472"/>
      <c r="N1" s="1472"/>
      <c r="O1" s="1472"/>
      <c r="P1" s="1472"/>
      <c r="Q1" s="1473"/>
    </row>
    <row r="2" spans="1:17" ht="46.5" x14ac:dyDescent="0.35">
      <c r="A2" s="597"/>
      <c r="B2" s="693"/>
      <c r="L2" s="657" t="s">
        <v>319</v>
      </c>
      <c r="M2" s="658"/>
      <c r="N2" s="659" t="s">
        <v>320</v>
      </c>
      <c r="O2" s="660"/>
      <c r="P2" s="659" t="s">
        <v>321</v>
      </c>
      <c r="Q2" s="661"/>
    </row>
    <row r="3" spans="1:17" ht="37" x14ac:dyDescent="0.35">
      <c r="A3" s="837"/>
      <c r="B3" s="615" t="s">
        <v>324</v>
      </c>
    </row>
    <row r="4" spans="1:17" ht="37" x14ac:dyDescent="0.35">
      <c r="A4" s="730" t="s">
        <v>1752</v>
      </c>
      <c r="B4" s="910">
        <f>SUM(E27:E37)</f>
        <v>0</v>
      </c>
    </row>
    <row r="5" spans="1:17" ht="37" x14ac:dyDescent="0.35">
      <c r="A5" s="730" t="s">
        <v>674</v>
      </c>
      <c r="B5" s="910">
        <f>SUM(E44:E53)</f>
        <v>0</v>
      </c>
    </row>
    <row r="6" spans="1:17" ht="18.5" x14ac:dyDescent="0.35">
      <c r="A6" s="730" t="s">
        <v>675</v>
      </c>
      <c r="B6" s="910">
        <f>F89</f>
        <v>0</v>
      </c>
    </row>
    <row r="7" spans="1:17" ht="18.5" x14ac:dyDescent="0.35">
      <c r="A7" s="730" t="s">
        <v>676</v>
      </c>
      <c r="B7" s="910">
        <f>C100</f>
        <v>0</v>
      </c>
    </row>
    <row r="8" spans="1:17" ht="18.5" x14ac:dyDescent="0.35">
      <c r="A8" s="730" t="s">
        <v>677</v>
      </c>
      <c r="B8" s="910">
        <f>F119</f>
        <v>0</v>
      </c>
    </row>
    <row r="9" spans="1:17" ht="18.5" x14ac:dyDescent="0.35">
      <c r="A9" s="730" t="s">
        <v>678</v>
      </c>
      <c r="B9" s="910">
        <f>D135</f>
        <v>0</v>
      </c>
    </row>
    <row r="10" spans="1:17" ht="18.5" x14ac:dyDescent="0.35">
      <c r="A10" s="730" t="s">
        <v>679</v>
      </c>
      <c r="B10" s="910">
        <f>E150</f>
        <v>0</v>
      </c>
    </row>
    <row r="11" spans="1:17" ht="18.5" x14ac:dyDescent="0.35">
      <c r="A11" s="730" t="s">
        <v>680</v>
      </c>
      <c r="B11" s="910">
        <f>C157+D171</f>
        <v>0</v>
      </c>
    </row>
    <row r="12" spans="1:17" ht="18.5" x14ac:dyDescent="0.35">
      <c r="A12" s="730" t="s">
        <v>681</v>
      </c>
      <c r="B12" s="910">
        <f>SUM(E192,D212)</f>
        <v>0</v>
      </c>
    </row>
    <row r="13" spans="1:17" ht="18.5" x14ac:dyDescent="0.35">
      <c r="A13" s="730" t="s">
        <v>682</v>
      </c>
      <c r="B13" s="910">
        <f>SUM(G219:G228,G231:G240,G243:G252,G255:G264,G267:G276,G279:G288)</f>
        <v>0</v>
      </c>
    </row>
    <row r="14" spans="1:17" ht="18.5" x14ac:dyDescent="0.35">
      <c r="A14" s="730" t="s">
        <v>683</v>
      </c>
      <c r="B14" s="910">
        <f>H294</f>
        <v>0</v>
      </c>
    </row>
    <row r="15" spans="1:17" ht="37" x14ac:dyDescent="0.35">
      <c r="A15" s="730" t="s">
        <v>684</v>
      </c>
      <c r="B15" s="910">
        <f>I381</f>
        <v>0</v>
      </c>
    </row>
    <row r="16" spans="1:17" ht="18.5" x14ac:dyDescent="0.35">
      <c r="A16" s="730" t="s">
        <v>105</v>
      </c>
      <c r="B16" s="910">
        <f>SUM(F388:F395,F398:F405,F408:F415,F418:F425,F428:F435,F438:F445)</f>
        <v>0</v>
      </c>
    </row>
    <row r="17" spans="1:17" ht="37" x14ac:dyDescent="0.35">
      <c r="A17" s="730" t="s">
        <v>685</v>
      </c>
      <c r="B17" s="910">
        <f>SUM(B456:C456)</f>
        <v>0</v>
      </c>
    </row>
    <row r="18" spans="1:17" ht="37" x14ac:dyDescent="0.35">
      <c r="A18" s="730" t="s">
        <v>686</v>
      </c>
      <c r="B18" s="910">
        <f>SUM(B575:C575)</f>
        <v>0</v>
      </c>
    </row>
    <row r="19" spans="1:17" ht="18.5" x14ac:dyDescent="0.35">
      <c r="A19" s="730" t="s">
        <v>123</v>
      </c>
      <c r="B19" s="910">
        <f>SUM(F306:F313,F316:F323,F326:F333,F336:F343,F346:F353,F356:F363)</f>
        <v>0</v>
      </c>
    </row>
    <row r="20" spans="1:17" ht="18.5" x14ac:dyDescent="0.35">
      <c r="A20" s="730" t="s">
        <v>687</v>
      </c>
      <c r="B20" s="910">
        <f>C795</f>
        <v>0</v>
      </c>
    </row>
    <row r="21" spans="1:17" ht="18.5" x14ac:dyDescent="0.35">
      <c r="A21" s="730" t="s">
        <v>688</v>
      </c>
      <c r="B21" s="910">
        <f>H795</f>
        <v>0</v>
      </c>
    </row>
    <row r="23" spans="1:17" s="664" customFormat="1" ht="36" x14ac:dyDescent="0.8">
      <c r="A23" s="1479" t="s">
        <v>99</v>
      </c>
      <c r="B23" s="1480"/>
      <c r="C23" s="1480"/>
      <c r="D23" s="1480"/>
      <c r="E23" s="1480"/>
      <c r="F23" s="1480"/>
      <c r="G23" s="1480"/>
      <c r="H23" s="1480"/>
      <c r="I23" s="1480"/>
      <c r="J23" s="1480"/>
      <c r="K23" s="1480"/>
      <c r="L23" s="1480"/>
      <c r="M23" s="1480"/>
      <c r="N23" s="1480"/>
      <c r="O23" s="1480"/>
      <c r="P23" s="1480"/>
      <c r="Q23" s="1481"/>
    </row>
    <row r="24" spans="1:17" x14ac:dyDescent="0.35">
      <c r="A24" s="597"/>
      <c r="B24" s="731"/>
      <c r="C24" s="731"/>
      <c r="D24" s="731"/>
      <c r="E24" s="731"/>
      <c r="F24" s="731"/>
      <c r="G24" s="731"/>
    </row>
    <row r="25" spans="1:17" s="667" customFormat="1" ht="24" thickBot="1" x14ac:dyDescent="0.6">
      <c r="A25" s="598"/>
      <c r="B25" s="836"/>
      <c r="C25" s="1461" t="s">
        <v>330</v>
      </c>
      <c r="D25" s="1462"/>
      <c r="E25" s="836"/>
      <c r="F25" s="836"/>
      <c r="G25" s="836"/>
    </row>
    <row r="26" spans="1:17" ht="60.75" customHeight="1" x14ac:dyDescent="0.35">
      <c r="A26" s="672" t="s">
        <v>331</v>
      </c>
      <c r="B26" s="672" t="s">
        <v>689</v>
      </c>
      <c r="C26" s="672" t="s">
        <v>690</v>
      </c>
      <c r="D26" s="718" t="s">
        <v>691</v>
      </c>
      <c r="E26" s="911" t="s">
        <v>626</v>
      </c>
      <c r="F26" s="912"/>
      <c r="G26" s="912"/>
    </row>
    <row r="27" spans="1:17" ht="14.5" customHeight="1" x14ac:dyDescent="0.35">
      <c r="A27" s="889"/>
      <c r="B27" s="889"/>
      <c r="C27" s="913">
        <f>B27*1.10231</f>
        <v>0</v>
      </c>
      <c r="D27" s="914" t="str">
        <f>B62</f>
        <v xml:space="preserve"> </v>
      </c>
      <c r="E27" s="915" t="str">
        <f>IFERROR(C27*D27, " ")</f>
        <v xml:space="preserve"> </v>
      </c>
      <c r="F27" s="731"/>
      <c r="G27" s="731"/>
    </row>
    <row r="28" spans="1:17" ht="14.5" customHeight="1" x14ac:dyDescent="0.35">
      <c r="A28" s="889"/>
      <c r="B28" s="889"/>
      <c r="C28" s="913">
        <f t="shared" ref="C28:C37" si="0">B28*1.10231</f>
        <v>0</v>
      </c>
      <c r="D28" s="914" t="str">
        <f>B62</f>
        <v xml:space="preserve"> </v>
      </c>
      <c r="E28" s="915" t="str">
        <f t="shared" ref="E28:E37" si="1">IFERROR(C28*D28, " ")</f>
        <v xml:space="preserve"> </v>
      </c>
      <c r="F28" s="731"/>
      <c r="G28" s="731"/>
    </row>
    <row r="29" spans="1:17" ht="14.5" customHeight="1" x14ac:dyDescent="0.35">
      <c r="A29" s="889"/>
      <c r="B29" s="889"/>
      <c r="C29" s="913">
        <f t="shared" si="0"/>
        <v>0</v>
      </c>
      <c r="D29" s="914" t="str">
        <f>B62</f>
        <v xml:space="preserve"> </v>
      </c>
      <c r="E29" s="915" t="str">
        <f t="shared" si="1"/>
        <v xml:space="preserve"> </v>
      </c>
    </row>
    <row r="30" spans="1:17" ht="14.5" customHeight="1" x14ac:dyDescent="0.35">
      <c r="A30" s="889"/>
      <c r="B30" s="889"/>
      <c r="C30" s="913">
        <f t="shared" si="0"/>
        <v>0</v>
      </c>
      <c r="D30" s="914" t="str">
        <f>B62</f>
        <v xml:space="preserve"> </v>
      </c>
      <c r="E30" s="915" t="str">
        <f t="shared" si="1"/>
        <v xml:space="preserve"> </v>
      </c>
    </row>
    <row r="31" spans="1:17" ht="14.5" customHeight="1" x14ac:dyDescent="0.35">
      <c r="A31" s="889"/>
      <c r="B31" s="889"/>
      <c r="C31" s="913">
        <f t="shared" si="0"/>
        <v>0</v>
      </c>
      <c r="D31" s="914" t="str">
        <f>B62</f>
        <v xml:space="preserve"> </v>
      </c>
      <c r="E31" s="915" t="str">
        <f t="shared" si="1"/>
        <v xml:space="preserve"> </v>
      </c>
    </row>
    <row r="32" spans="1:17" ht="14.5" customHeight="1" x14ac:dyDescent="0.35">
      <c r="A32" s="889"/>
      <c r="B32" s="889"/>
      <c r="C32" s="913">
        <f t="shared" si="0"/>
        <v>0</v>
      </c>
      <c r="D32" s="914" t="str">
        <f>B62</f>
        <v xml:space="preserve"> </v>
      </c>
      <c r="E32" s="915" t="str">
        <f t="shared" si="1"/>
        <v xml:space="preserve"> </v>
      </c>
    </row>
    <row r="33" spans="1:17" ht="14.5" customHeight="1" x14ac:dyDescent="0.35">
      <c r="A33" s="889"/>
      <c r="B33" s="889"/>
      <c r="C33" s="913">
        <f t="shared" si="0"/>
        <v>0</v>
      </c>
      <c r="D33" s="914" t="str">
        <f>B62</f>
        <v xml:space="preserve"> </v>
      </c>
      <c r="E33" s="915" t="str">
        <f t="shared" si="1"/>
        <v xml:space="preserve"> </v>
      </c>
    </row>
    <row r="34" spans="1:17" ht="14.5" customHeight="1" x14ac:dyDescent="0.35">
      <c r="A34" s="889"/>
      <c r="B34" s="889"/>
      <c r="C34" s="913">
        <f t="shared" si="0"/>
        <v>0</v>
      </c>
      <c r="D34" s="914" t="str">
        <f>B62</f>
        <v xml:space="preserve"> </v>
      </c>
      <c r="E34" s="915" t="str">
        <f t="shared" si="1"/>
        <v xml:space="preserve"> </v>
      </c>
    </row>
    <row r="35" spans="1:17" ht="14.5" customHeight="1" x14ac:dyDescent="0.35">
      <c r="A35" s="889"/>
      <c r="B35" s="889"/>
      <c r="C35" s="913">
        <f t="shared" si="0"/>
        <v>0</v>
      </c>
      <c r="D35" s="914" t="str">
        <f>B62</f>
        <v xml:space="preserve"> </v>
      </c>
      <c r="E35" s="915" t="str">
        <f t="shared" si="1"/>
        <v xml:space="preserve"> </v>
      </c>
    </row>
    <row r="36" spans="1:17" ht="14.5" customHeight="1" x14ac:dyDescent="0.35">
      <c r="A36" s="889"/>
      <c r="B36" s="889"/>
      <c r="C36" s="913">
        <f t="shared" si="0"/>
        <v>0</v>
      </c>
      <c r="D36" s="914" t="str">
        <f>B62</f>
        <v xml:space="preserve"> </v>
      </c>
      <c r="E36" s="915" t="str">
        <f t="shared" si="1"/>
        <v xml:space="preserve"> </v>
      </c>
    </row>
    <row r="37" spans="1:17" ht="14.5" customHeight="1" thickBot="1" x14ac:dyDescent="0.4">
      <c r="A37" s="889"/>
      <c r="B37" s="889"/>
      <c r="C37" s="913">
        <f t="shared" si="0"/>
        <v>0</v>
      </c>
      <c r="D37" s="914" t="str">
        <f>B62</f>
        <v xml:space="preserve"> </v>
      </c>
      <c r="E37" s="916" t="str">
        <f t="shared" si="1"/>
        <v xml:space="preserve"> </v>
      </c>
    </row>
    <row r="40" spans="1:17" s="664" customFormat="1" ht="36" x14ac:dyDescent="0.8">
      <c r="A40" s="1479" t="s">
        <v>100</v>
      </c>
      <c r="B40" s="1480"/>
      <c r="C40" s="1480"/>
      <c r="D40" s="1480"/>
      <c r="E40" s="1480"/>
      <c r="F40" s="1480"/>
      <c r="G40" s="1480"/>
      <c r="H40" s="1480"/>
      <c r="I40" s="1480"/>
      <c r="J40" s="1480"/>
      <c r="K40" s="1480"/>
      <c r="L40" s="1480"/>
      <c r="M40" s="1480"/>
      <c r="N40" s="1480"/>
      <c r="O40" s="1480"/>
      <c r="P40" s="1480"/>
      <c r="Q40" s="1481"/>
    </row>
    <row r="41" spans="1:17" x14ac:dyDescent="0.35">
      <c r="A41" s="917"/>
      <c r="B41" s="918"/>
      <c r="C41" s="918"/>
      <c r="D41" s="918"/>
      <c r="E41" s="918"/>
      <c r="F41" s="919"/>
      <c r="G41" s="919"/>
      <c r="H41" s="919"/>
      <c r="I41" s="919"/>
      <c r="J41" s="919"/>
      <c r="K41" s="919"/>
      <c r="L41" s="919"/>
      <c r="M41" s="919"/>
      <c r="N41" s="919"/>
      <c r="O41" s="919"/>
      <c r="P41" s="919"/>
      <c r="Q41" s="919"/>
    </row>
    <row r="42" spans="1:17" s="667" customFormat="1" ht="24" thickBot="1" x14ac:dyDescent="0.6">
      <c r="A42" s="920"/>
      <c r="B42" s="921"/>
      <c r="C42" s="1461" t="s">
        <v>330</v>
      </c>
      <c r="D42" s="1462"/>
      <c r="E42" s="922"/>
      <c r="F42" s="923"/>
      <c r="G42" s="923"/>
      <c r="H42" s="923"/>
      <c r="I42" s="923"/>
      <c r="J42" s="923"/>
      <c r="K42" s="923"/>
      <c r="L42" s="923"/>
      <c r="M42" s="923"/>
      <c r="N42" s="923"/>
      <c r="O42" s="923"/>
      <c r="P42" s="923"/>
      <c r="Q42" s="923"/>
    </row>
    <row r="43" spans="1:17" ht="44.15" customHeight="1" x14ac:dyDescent="0.35">
      <c r="A43" s="672" t="s">
        <v>331</v>
      </c>
      <c r="B43" s="672" t="s">
        <v>692</v>
      </c>
      <c r="C43" s="672" t="s">
        <v>693</v>
      </c>
      <c r="D43" s="718" t="s">
        <v>694</v>
      </c>
      <c r="E43" s="911" t="s">
        <v>442</v>
      </c>
    </row>
    <row r="44" spans="1:17" x14ac:dyDescent="0.35">
      <c r="A44" s="924"/>
      <c r="B44" s="925"/>
      <c r="C44" s="913">
        <f>SUM(B44/1000)</f>
        <v>0</v>
      </c>
      <c r="D44" s="926" t="str">
        <f>B67</f>
        <v xml:space="preserve"> </v>
      </c>
      <c r="E44" s="903" t="str">
        <f>IFERROR(SUM(C44*D44), " ")</f>
        <v xml:space="preserve"> </v>
      </c>
    </row>
    <row r="45" spans="1:17" x14ac:dyDescent="0.35">
      <c r="A45" s="924"/>
      <c r="B45" s="925"/>
      <c r="C45" s="913">
        <f t="shared" ref="C45:C53" si="2">SUM(B45/1000)</f>
        <v>0</v>
      </c>
      <c r="D45" s="926" t="str">
        <f>B67</f>
        <v xml:space="preserve"> </v>
      </c>
      <c r="E45" s="903" t="str">
        <f t="shared" ref="E45:E53" si="3">IFERROR(SUM(C45*D45), " ")</f>
        <v xml:space="preserve"> </v>
      </c>
    </row>
    <row r="46" spans="1:17" x14ac:dyDescent="0.35">
      <c r="A46" s="924"/>
      <c r="B46" s="925"/>
      <c r="C46" s="913">
        <f t="shared" si="2"/>
        <v>0</v>
      </c>
      <c r="D46" s="926" t="str">
        <f>B67</f>
        <v xml:space="preserve"> </v>
      </c>
      <c r="E46" s="903" t="str">
        <f t="shared" si="3"/>
        <v xml:space="preserve"> </v>
      </c>
    </row>
    <row r="47" spans="1:17" x14ac:dyDescent="0.35">
      <c r="A47" s="924"/>
      <c r="B47" s="925"/>
      <c r="C47" s="913">
        <f t="shared" si="2"/>
        <v>0</v>
      </c>
      <c r="D47" s="926" t="str">
        <f>B67</f>
        <v xml:space="preserve"> </v>
      </c>
      <c r="E47" s="903" t="str">
        <f t="shared" si="3"/>
        <v xml:space="preserve"> </v>
      </c>
    </row>
    <row r="48" spans="1:17" x14ac:dyDescent="0.35">
      <c r="A48" s="924"/>
      <c r="B48" s="925"/>
      <c r="C48" s="913">
        <f t="shared" si="2"/>
        <v>0</v>
      </c>
      <c r="D48" s="926" t="str">
        <f>B67</f>
        <v xml:space="preserve"> </v>
      </c>
      <c r="E48" s="903" t="str">
        <f t="shared" si="3"/>
        <v xml:space="preserve"> </v>
      </c>
    </row>
    <row r="49" spans="1:5" x14ac:dyDescent="0.35">
      <c r="A49" s="924"/>
      <c r="B49" s="925"/>
      <c r="C49" s="913">
        <f t="shared" si="2"/>
        <v>0</v>
      </c>
      <c r="D49" s="926" t="str">
        <f>B67</f>
        <v xml:space="preserve"> </v>
      </c>
      <c r="E49" s="903" t="str">
        <f t="shared" si="3"/>
        <v xml:space="preserve"> </v>
      </c>
    </row>
    <row r="50" spans="1:5" x14ac:dyDescent="0.35">
      <c r="A50" s="924"/>
      <c r="B50" s="925"/>
      <c r="C50" s="913">
        <f t="shared" si="2"/>
        <v>0</v>
      </c>
      <c r="D50" s="926" t="str">
        <f>B67</f>
        <v xml:space="preserve"> </v>
      </c>
      <c r="E50" s="903" t="str">
        <f t="shared" si="3"/>
        <v xml:space="preserve"> </v>
      </c>
    </row>
    <row r="51" spans="1:5" x14ac:dyDescent="0.35">
      <c r="A51" s="924"/>
      <c r="B51" s="925"/>
      <c r="C51" s="913">
        <f t="shared" si="2"/>
        <v>0</v>
      </c>
      <c r="D51" s="926" t="str">
        <f>B67</f>
        <v xml:space="preserve"> </v>
      </c>
      <c r="E51" s="903" t="str">
        <f t="shared" si="3"/>
        <v xml:space="preserve"> </v>
      </c>
    </row>
    <row r="52" spans="1:5" x14ac:dyDescent="0.35">
      <c r="A52" s="924"/>
      <c r="B52" s="925"/>
      <c r="C52" s="913">
        <f t="shared" si="2"/>
        <v>0</v>
      </c>
      <c r="D52" s="926" t="str">
        <f>B67</f>
        <v xml:space="preserve"> </v>
      </c>
      <c r="E52" s="903" t="str">
        <f t="shared" si="3"/>
        <v xml:space="preserve"> </v>
      </c>
    </row>
    <row r="53" spans="1:5" ht="16" thickBot="1" x14ac:dyDescent="0.4">
      <c r="A53" s="924"/>
      <c r="B53" s="925"/>
      <c r="C53" s="913">
        <f t="shared" si="2"/>
        <v>0</v>
      </c>
      <c r="D53" s="926" t="str">
        <f>B67</f>
        <v xml:space="preserve"> </v>
      </c>
      <c r="E53" s="927" t="str">
        <f t="shared" si="3"/>
        <v xml:space="preserve"> </v>
      </c>
    </row>
    <row r="57" spans="1:5" ht="15" customHeight="1" x14ac:dyDescent="0.35">
      <c r="A57" s="1555" t="s">
        <v>695</v>
      </c>
      <c r="B57" s="1556"/>
    </row>
    <row r="58" spans="1:5" ht="44.25" customHeight="1" x14ac:dyDescent="0.35">
      <c r="A58" s="1557"/>
      <c r="B58" s="1558"/>
    </row>
    <row r="59" spans="1:5" s="667" customFormat="1" ht="18.75" customHeight="1" x14ac:dyDescent="0.55000000000000004">
      <c r="A59" s="1553" t="s">
        <v>99</v>
      </c>
      <c r="B59" s="1554"/>
    </row>
    <row r="60" spans="1:5" ht="31" x14ac:dyDescent="0.35">
      <c r="A60" s="628" t="s">
        <v>696</v>
      </c>
      <c r="B60" s="820">
        <f>SUM(Mobile!B7+ 'Soil and Fertilizer'!B7)+(Electricity!B4*0.15)</f>
        <v>0</v>
      </c>
      <c r="C60" s="599" t="s">
        <v>697</v>
      </c>
    </row>
    <row r="61" spans="1:5" ht="31" x14ac:dyDescent="0.35">
      <c r="A61" s="628" t="s">
        <v>698</v>
      </c>
      <c r="B61" s="820">
        <f>SUM('Vineyard - Biomass Photosynth'!C9:C18)</f>
        <v>0</v>
      </c>
      <c r="C61" s="599" t="s">
        <v>699</v>
      </c>
    </row>
    <row r="62" spans="1:5" ht="46.5" x14ac:dyDescent="0.35">
      <c r="A62" s="628" t="s">
        <v>700</v>
      </c>
      <c r="B62" s="928" t="str">
        <f>IFERROR(B60/B61," ")</f>
        <v xml:space="preserve"> </v>
      </c>
      <c r="C62" s="600"/>
    </row>
    <row r="63" spans="1:5" s="667" customFormat="1" ht="23.5" x14ac:dyDescent="0.55000000000000004">
      <c r="A63" s="1553" t="s">
        <v>100</v>
      </c>
      <c r="B63" s="1554"/>
      <c r="C63" s="601"/>
    </row>
    <row r="64" spans="1:5" ht="31" x14ac:dyDescent="0.35">
      <c r="A64" s="628" t="s">
        <v>701</v>
      </c>
      <c r="B64" s="820">
        <f>SUM(Stationary!B9+'Onsite Waste'!B6)+(Electricity!B4*0.68)</f>
        <v>0</v>
      </c>
      <c r="C64" s="602" t="s">
        <v>702</v>
      </c>
    </row>
    <row r="65" spans="1:9" ht="31" x14ac:dyDescent="0.35">
      <c r="A65" s="628" t="s">
        <v>703</v>
      </c>
      <c r="B65" s="820">
        <f>SUM(Winemaking!B8:B29)</f>
        <v>0</v>
      </c>
      <c r="C65" s="929"/>
    </row>
    <row r="66" spans="1:9" ht="49.5" customHeight="1" x14ac:dyDescent="0.35">
      <c r="A66" s="628" t="s">
        <v>704</v>
      </c>
      <c r="B66" s="820">
        <f>B65*0.001</f>
        <v>0</v>
      </c>
      <c r="C66" s="602" t="s">
        <v>705</v>
      </c>
    </row>
    <row r="67" spans="1:9" ht="31" x14ac:dyDescent="0.35">
      <c r="A67" s="628" t="s">
        <v>706</v>
      </c>
      <c r="B67" s="928" t="str">
        <f>IFERROR(SUM(B64/B66)+B62, " ")</f>
        <v xml:space="preserve"> </v>
      </c>
      <c r="C67" s="886"/>
    </row>
    <row r="70" spans="1:9" ht="31" x14ac:dyDescent="0.7">
      <c r="A70" s="1498" t="s">
        <v>707</v>
      </c>
      <c r="B70" s="1499"/>
      <c r="C70" s="1499"/>
      <c r="D70" s="1499"/>
      <c r="E70" s="1499"/>
      <c r="F70" s="1499"/>
      <c r="G70" s="1499"/>
      <c r="H70" s="1499"/>
      <c r="I70" s="1499"/>
    </row>
    <row r="71" spans="1:9" s="689" customFormat="1" ht="19" thickBot="1" x14ac:dyDescent="0.5">
      <c r="A71" s="712" t="s">
        <v>1753</v>
      </c>
    </row>
    <row r="72" spans="1:9" ht="31.5" thickBot="1" x14ac:dyDescent="0.4">
      <c r="A72" s="930" t="s">
        <v>708</v>
      </c>
      <c r="B72" s="620" t="s">
        <v>709</v>
      </c>
      <c r="C72" s="628" t="s">
        <v>710</v>
      </c>
      <c r="D72" s="628" t="s">
        <v>711</v>
      </c>
      <c r="E72" s="718" t="s">
        <v>712</v>
      </c>
      <c r="F72" s="838" t="s">
        <v>1745</v>
      </c>
    </row>
    <row r="73" spans="1:9" ht="15.65" customHeight="1" x14ac:dyDescent="0.35">
      <c r="A73" s="1547"/>
      <c r="B73" s="1550"/>
      <c r="C73" s="706"/>
      <c r="D73" s="706"/>
      <c r="E73" s="931"/>
      <c r="F73" s="903">
        <f>SUM($B$73)*D73*E73*0.001</f>
        <v>0</v>
      </c>
      <c r="H73" s="1565" t="s">
        <v>1754</v>
      </c>
      <c r="I73" s="1566"/>
    </row>
    <row r="74" spans="1:9" x14ac:dyDescent="0.35">
      <c r="A74" s="1548"/>
      <c r="B74" s="1551"/>
      <c r="C74" s="706"/>
      <c r="D74" s="706"/>
      <c r="E74" s="931"/>
      <c r="F74" s="903">
        <f t="shared" ref="F74:F75" si="4">SUM($B$73)*D74*E74*0.001</f>
        <v>0</v>
      </c>
      <c r="H74" s="1567"/>
      <c r="I74" s="1568"/>
    </row>
    <row r="75" spans="1:9" ht="31" x14ac:dyDescent="0.35">
      <c r="A75" s="1548"/>
      <c r="B75" s="1551"/>
      <c r="C75" s="706"/>
      <c r="D75" s="706"/>
      <c r="E75" s="931"/>
      <c r="F75" s="903">
        <f t="shared" si="4"/>
        <v>0</v>
      </c>
      <c r="H75" s="932" t="s">
        <v>713</v>
      </c>
      <c r="I75" s="933" t="s">
        <v>714</v>
      </c>
    </row>
    <row r="76" spans="1:9" x14ac:dyDescent="0.35">
      <c r="A76" s="1549"/>
      <c r="B76" s="1552"/>
      <c r="C76" s="706"/>
      <c r="D76" s="706"/>
      <c r="E76" s="931"/>
      <c r="F76" s="903">
        <f>SUM($B$73)*D76*E76*0.001</f>
        <v>0</v>
      </c>
      <c r="H76" s="721" t="s">
        <v>715</v>
      </c>
      <c r="I76" s="674">
        <f>'Emission Factors'!C1147</f>
        <v>7.1032999999999999</v>
      </c>
    </row>
    <row r="77" spans="1:9" ht="15.75" customHeight="1" x14ac:dyDescent="0.35">
      <c r="A77" s="1547"/>
      <c r="B77" s="1550"/>
      <c r="C77" s="706"/>
      <c r="D77" s="706"/>
      <c r="E77" s="931"/>
      <c r="F77" s="903">
        <f>SUM($B$77)*D77*E77*0.001</f>
        <v>0</v>
      </c>
      <c r="H77" s="721" t="s">
        <v>716</v>
      </c>
      <c r="I77" s="674">
        <f>'Emission Factors'!C1148</f>
        <v>0.15673000000000001</v>
      </c>
    </row>
    <row r="78" spans="1:9" x14ac:dyDescent="0.35">
      <c r="A78" s="1548"/>
      <c r="B78" s="1551"/>
      <c r="C78" s="706"/>
      <c r="D78" s="706"/>
      <c r="E78" s="931"/>
      <c r="F78" s="903">
        <f>SUM($B$77)*D78*E78*0.001</f>
        <v>0</v>
      </c>
      <c r="H78" s="721" t="s">
        <v>717</v>
      </c>
      <c r="I78" s="674">
        <f>'Emission Factors'!C1149</f>
        <v>6.0922999999999998</v>
      </c>
    </row>
    <row r="79" spans="1:9" x14ac:dyDescent="0.35">
      <c r="A79" s="1548"/>
      <c r="B79" s="1551"/>
      <c r="C79" s="706"/>
      <c r="D79" s="706"/>
      <c r="E79" s="931"/>
      <c r="F79" s="903">
        <f t="shared" ref="F79" si="5">SUM($B$77)*D79*E79*0.001</f>
        <v>0</v>
      </c>
      <c r="H79" s="721" t="s">
        <v>718</v>
      </c>
      <c r="I79" s="674">
        <f>'Emission Factors'!C1150</f>
        <v>4.6738</v>
      </c>
    </row>
    <row r="80" spans="1:9" x14ac:dyDescent="0.35">
      <c r="A80" s="1549"/>
      <c r="B80" s="1552"/>
      <c r="C80" s="706"/>
      <c r="D80" s="706"/>
      <c r="E80" s="931"/>
      <c r="F80" s="903">
        <f>SUM($B$77)*D80*E80*0.001</f>
        <v>0</v>
      </c>
      <c r="H80" s="721" t="s">
        <v>719</v>
      </c>
      <c r="I80" s="674">
        <f>'Emission Factors'!C1151</f>
        <v>9.0297999999999998</v>
      </c>
    </row>
    <row r="81" spans="1:20" x14ac:dyDescent="0.35">
      <c r="A81" s="1547"/>
      <c r="B81" s="1550"/>
      <c r="C81" s="706"/>
      <c r="D81" s="706"/>
      <c r="E81" s="931"/>
      <c r="F81" s="903">
        <f>SUM($B$81)*D81*E81*0.001</f>
        <v>0</v>
      </c>
      <c r="H81" s="721" t="s">
        <v>720</v>
      </c>
      <c r="I81" s="674">
        <f>'Emission Factors'!C1152</f>
        <v>1.9916</v>
      </c>
    </row>
    <row r="82" spans="1:20" x14ac:dyDescent="0.35">
      <c r="A82" s="1548"/>
      <c r="B82" s="1551"/>
      <c r="C82" s="706"/>
      <c r="D82" s="706"/>
      <c r="E82" s="931"/>
      <c r="F82" s="903">
        <f t="shared" ref="F82:F83" si="6">SUM($B$81)*D82*E82*0.001</f>
        <v>0</v>
      </c>
      <c r="H82" s="721" t="s">
        <v>721</v>
      </c>
      <c r="I82" s="674">
        <f>'Emission Factors'!C1153</f>
        <v>1.4106000000000001</v>
      </c>
    </row>
    <row r="83" spans="1:20" x14ac:dyDescent="0.35">
      <c r="A83" s="1548"/>
      <c r="B83" s="1551"/>
      <c r="C83" s="706"/>
      <c r="D83" s="706"/>
      <c r="E83" s="931"/>
      <c r="F83" s="903">
        <f t="shared" si="6"/>
        <v>0</v>
      </c>
      <c r="H83" s="721" t="s">
        <v>722</v>
      </c>
      <c r="I83" s="674">
        <f>'Emission Factors'!C1154</f>
        <v>11.896000000000001</v>
      </c>
    </row>
    <row r="84" spans="1:20" x14ac:dyDescent="0.35">
      <c r="A84" s="1549"/>
      <c r="B84" s="1552"/>
      <c r="C84" s="706"/>
      <c r="D84" s="706"/>
      <c r="E84" s="931"/>
      <c r="F84" s="903">
        <f>SUM($B$81)*D84*E84*0.001</f>
        <v>0</v>
      </c>
      <c r="H84" s="721" t="s">
        <v>723</v>
      </c>
      <c r="I84" s="674">
        <f>'Emission Factors'!C1155</f>
        <v>10.712</v>
      </c>
    </row>
    <row r="85" spans="1:20" x14ac:dyDescent="0.35">
      <c r="A85" s="1547"/>
      <c r="B85" s="1550"/>
      <c r="C85" s="706"/>
      <c r="D85" s="706"/>
      <c r="E85" s="931"/>
      <c r="F85" s="903">
        <f>SUM($B$85)*D85*E85*0.001</f>
        <v>0</v>
      </c>
      <c r="H85" s="731"/>
      <c r="I85" s="934"/>
    </row>
    <row r="86" spans="1:20" x14ac:dyDescent="0.35">
      <c r="A86" s="1548"/>
      <c r="B86" s="1551"/>
      <c r="C86" s="706"/>
      <c r="D86" s="706"/>
      <c r="E86" s="931"/>
      <c r="F86" s="903">
        <f>SUM($B$85)*D86*E86*0.001</f>
        <v>0</v>
      </c>
    </row>
    <row r="87" spans="1:20" x14ac:dyDescent="0.35">
      <c r="A87" s="1548"/>
      <c r="B87" s="1551"/>
      <c r="C87" s="706"/>
      <c r="D87" s="706"/>
      <c r="E87" s="931"/>
      <c r="F87" s="903">
        <f t="shared" ref="F87" si="7">SUM($B$85)*D87*E87*0.001</f>
        <v>0</v>
      </c>
    </row>
    <row r="88" spans="1:20" x14ac:dyDescent="0.35">
      <c r="A88" s="1549"/>
      <c r="B88" s="1552"/>
      <c r="C88" s="706"/>
      <c r="D88" s="706"/>
      <c r="E88" s="931"/>
      <c r="F88" s="903">
        <f>SUM($B$85)*D88*E88*0.001</f>
        <v>0</v>
      </c>
    </row>
    <row r="89" spans="1:20" ht="16" thickBot="1" x14ac:dyDescent="0.4">
      <c r="B89" s="935"/>
      <c r="D89" s="845"/>
      <c r="E89" s="936" t="s">
        <v>327</v>
      </c>
      <c r="F89" s="937">
        <f>SUM(F73:F88)</f>
        <v>0</v>
      </c>
    </row>
    <row r="90" spans="1:20" x14ac:dyDescent="0.35">
      <c r="B90" s="935"/>
      <c r="D90" s="845"/>
      <c r="E90" s="845"/>
      <c r="F90" s="845"/>
    </row>
    <row r="91" spans="1:20" ht="31" x14ac:dyDescent="0.7">
      <c r="A91" s="1498" t="s">
        <v>724</v>
      </c>
      <c r="B91" s="1499"/>
      <c r="C91" s="1499"/>
      <c r="D91" s="1499"/>
      <c r="E91" s="1499"/>
      <c r="F91" s="1499"/>
      <c r="G91" s="1499"/>
      <c r="H91" s="1499"/>
      <c r="I91" s="1499"/>
      <c r="J91" s="1499"/>
      <c r="K91" s="1499"/>
      <c r="L91" s="1499"/>
      <c r="M91" s="1499"/>
      <c r="N91" s="1499"/>
      <c r="O91" s="1499"/>
      <c r="P91" s="1499"/>
      <c r="Q91" s="1499"/>
      <c r="R91" s="1499"/>
      <c r="S91" s="1499"/>
      <c r="T91" s="1499"/>
    </row>
    <row r="92" spans="1:20" ht="16" thickBot="1" x14ac:dyDescent="0.4">
      <c r="B92" s="935"/>
      <c r="D92" s="845"/>
      <c r="E92" s="845"/>
      <c r="F92" s="845"/>
    </row>
    <row r="93" spans="1:20" ht="31" x14ac:dyDescent="0.35">
      <c r="A93" s="672" t="s">
        <v>713</v>
      </c>
      <c r="B93" s="718" t="s">
        <v>725</v>
      </c>
      <c r="C93" s="742" t="s">
        <v>1745</v>
      </c>
      <c r="D93" s="845"/>
      <c r="E93" s="845"/>
      <c r="F93" s="1569" t="s">
        <v>1755</v>
      </c>
      <c r="G93" s="1570"/>
    </row>
    <row r="94" spans="1:20" ht="31" x14ac:dyDescent="0.35">
      <c r="A94" s="672" t="s">
        <v>726</v>
      </c>
      <c r="B94" s="931"/>
      <c r="C94" s="915">
        <f>(B94*G95)*0.001</f>
        <v>0</v>
      </c>
      <c r="D94" s="845"/>
      <c r="E94" s="845"/>
      <c r="F94" s="932" t="s">
        <v>713</v>
      </c>
      <c r="G94" s="933" t="s">
        <v>1756</v>
      </c>
    </row>
    <row r="95" spans="1:20" x14ac:dyDescent="0.35">
      <c r="A95" s="672" t="s">
        <v>727</v>
      </c>
      <c r="B95" s="931"/>
      <c r="C95" s="915">
        <f>((B95*G96)+(B95*G97))*0.001</f>
        <v>0</v>
      </c>
      <c r="D95" s="845"/>
      <c r="E95" s="845"/>
      <c r="F95" s="721" t="s">
        <v>726</v>
      </c>
      <c r="G95" s="674">
        <f>'Emission Factors'!C1160</f>
        <v>7.609</v>
      </c>
    </row>
    <row r="96" spans="1:20" ht="15.65" customHeight="1" x14ac:dyDescent="0.35">
      <c r="A96" s="672" t="s">
        <v>728</v>
      </c>
      <c r="B96" s="931"/>
      <c r="C96" s="915">
        <f>(B96*$G$97)*0.001</f>
        <v>0</v>
      </c>
      <c r="D96" s="845"/>
      <c r="E96" s="845"/>
      <c r="F96" s="721" t="s">
        <v>727</v>
      </c>
      <c r="G96" s="674">
        <f>'Emission Factors'!C1162</f>
        <v>3.03</v>
      </c>
      <c r="H96" s="1571" t="s">
        <v>729</v>
      </c>
      <c r="I96" s="1572"/>
    </row>
    <row r="97" spans="1:32" x14ac:dyDescent="0.35">
      <c r="A97" s="672" t="s">
        <v>730</v>
      </c>
      <c r="B97" s="931"/>
      <c r="C97" s="915">
        <f>(B97*$G$97)*0.001</f>
        <v>0</v>
      </c>
      <c r="D97" s="845"/>
      <c r="E97" s="845"/>
      <c r="F97" s="721" t="s">
        <v>731</v>
      </c>
      <c r="G97" s="674">
        <f>'Emission Factors'!C1163</f>
        <v>6.0937999999999999</v>
      </c>
      <c r="H97" s="1571"/>
      <c r="I97" s="1572"/>
    </row>
    <row r="98" spans="1:32" x14ac:dyDescent="0.35">
      <c r="A98" s="672" t="s">
        <v>732</v>
      </c>
      <c r="B98" s="931"/>
      <c r="C98" s="915">
        <f>0.001*(B98*G98)</f>
        <v>0</v>
      </c>
      <c r="D98" s="845"/>
      <c r="E98" s="845"/>
      <c r="F98" s="721" t="s">
        <v>732</v>
      </c>
      <c r="G98" s="674">
        <f>'Emission Factors'!C1164</f>
        <v>0.14360000000000001</v>
      </c>
    </row>
    <row r="99" spans="1:32" ht="16" thickBot="1" x14ac:dyDescent="0.4">
      <c r="A99" s="672" t="s">
        <v>733</v>
      </c>
      <c r="B99" s="931"/>
      <c r="C99" s="915">
        <f>0.001*(B99*G99)</f>
        <v>0</v>
      </c>
      <c r="D99" s="845"/>
      <c r="E99" s="845"/>
      <c r="F99" s="938" t="s">
        <v>733</v>
      </c>
      <c r="G99" s="939" cm="1">
        <f t="array" ref="G99">Table2[kgCO2e/kg]</f>
        <v>3.2187451999999999E-3</v>
      </c>
    </row>
    <row r="100" spans="1:32" ht="16" thickBot="1" x14ac:dyDescent="0.4">
      <c r="B100" s="936" t="s">
        <v>327</v>
      </c>
      <c r="C100" s="937">
        <f>SUM(C94:C99)</f>
        <v>0</v>
      </c>
      <c r="D100" s="845"/>
      <c r="E100" s="845"/>
      <c r="F100" s="845"/>
    </row>
    <row r="101" spans="1:32" x14ac:dyDescent="0.35">
      <c r="B101" s="935"/>
      <c r="D101" s="845"/>
      <c r="E101" s="845"/>
      <c r="F101" s="845"/>
    </row>
    <row r="102" spans="1:32" x14ac:dyDescent="0.35">
      <c r="C102" s="886"/>
    </row>
    <row r="103" spans="1:32" s="1498" customFormat="1" ht="31" x14ac:dyDescent="0.7">
      <c r="A103" s="1498" t="s">
        <v>677</v>
      </c>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row>
    <row r="104" spans="1:32" x14ac:dyDescent="0.35">
      <c r="A104" s="940" t="s">
        <v>734</v>
      </c>
      <c r="C104" s="886"/>
      <c r="G104" s="689"/>
      <c r="H104" s="689"/>
    </row>
    <row r="105" spans="1:32" ht="16" thickBot="1" x14ac:dyDescent="0.4">
      <c r="A105" s="941"/>
      <c r="C105" s="886"/>
      <c r="G105" s="689"/>
      <c r="H105" s="689"/>
    </row>
    <row r="106" spans="1:32" ht="24" thickBot="1" x14ac:dyDescent="0.4">
      <c r="B106" s="1562" t="s">
        <v>735</v>
      </c>
      <c r="C106" s="1563"/>
      <c r="D106" s="1563"/>
      <c r="E106" s="1564"/>
      <c r="G106" s="689"/>
    </row>
    <row r="107" spans="1:32" ht="31" x14ac:dyDescent="0.35">
      <c r="A107" s="942" t="s">
        <v>736</v>
      </c>
      <c r="B107" s="943" t="s">
        <v>737</v>
      </c>
      <c r="C107" s="944" t="s">
        <v>738</v>
      </c>
      <c r="D107" s="944" t="s">
        <v>739</v>
      </c>
      <c r="E107" s="945" t="s">
        <v>740</v>
      </c>
      <c r="F107" s="946" t="s">
        <v>1745</v>
      </c>
      <c r="G107" s="689"/>
    </row>
    <row r="108" spans="1:32" x14ac:dyDescent="0.35">
      <c r="A108" s="857"/>
      <c r="B108" s="861"/>
      <c r="C108" s="889"/>
      <c r="D108" s="889"/>
      <c r="E108" s="947"/>
      <c r="F108" s="948">
        <f>0.001*IF(B108&gt;0,B108*'Emission Factors'!$B$1121,IF(C108&gt;0,C108*'Emission Factors'!$B$1122,IF(D108&gt;0,D108*'Emission Factors'!$B$1123,E108*'Emission Factors'!$B$1124)))</f>
        <v>0</v>
      </c>
      <c r="G108" s="689"/>
    </row>
    <row r="109" spans="1:32" x14ac:dyDescent="0.35">
      <c r="A109" s="857"/>
      <c r="B109" s="861"/>
      <c r="C109" s="889"/>
      <c r="D109" s="889"/>
      <c r="E109" s="947"/>
      <c r="F109" s="948">
        <f>0.001*IF(B109&gt;0,B109*'Emission Factors'!$B$1121,IF(C109&gt;0,C109*'Emission Factors'!$B$1122,IF(D109&gt;0,D109*'Emission Factors'!$B$1123,E109*'Emission Factors'!$B$1124)))</f>
        <v>0</v>
      </c>
      <c r="G109" s="689"/>
    </row>
    <row r="110" spans="1:32" x14ac:dyDescent="0.35">
      <c r="A110" s="857"/>
      <c r="B110" s="861"/>
      <c r="C110" s="889"/>
      <c r="D110" s="889"/>
      <c r="E110" s="947"/>
      <c r="F110" s="948">
        <f>0.001*IF(B110&gt;0,B110*'Emission Factors'!$B$1121,IF(C110&gt;0,C110*'Emission Factors'!$B$1122,IF(D110&gt;0,D110*'Emission Factors'!$B$1123,E110*'Emission Factors'!$B$1124)))</f>
        <v>0</v>
      </c>
      <c r="G110" s="689"/>
    </row>
    <row r="111" spans="1:32" x14ac:dyDescent="0.35">
      <c r="A111" s="857"/>
      <c r="B111" s="861"/>
      <c r="C111" s="889"/>
      <c r="D111" s="889"/>
      <c r="E111" s="947"/>
      <c r="F111" s="948">
        <f>0.001*IF(B111&gt;0,B111*'Emission Factors'!$B$1121,IF(C111&gt;0,C111*'Emission Factors'!$B$1122,IF(D111&gt;0,D111*'Emission Factors'!$B$1123,E111*'Emission Factors'!$B$1124)))</f>
        <v>0</v>
      </c>
      <c r="G111" s="689"/>
    </row>
    <row r="112" spans="1:32" x14ac:dyDescent="0.35">
      <c r="A112" s="857"/>
      <c r="B112" s="861"/>
      <c r="C112" s="889"/>
      <c r="D112" s="889"/>
      <c r="E112" s="947"/>
      <c r="F112" s="948">
        <f>0.001*IF(B112&gt;0,B112*'Emission Factors'!$B$1121,IF(C112&gt;0,C112*'Emission Factors'!$B$1122,IF(D112&gt;0,D112*'Emission Factors'!$B$1123,E112*'Emission Factors'!$B$1124)))</f>
        <v>0</v>
      </c>
      <c r="G112" s="689"/>
    </row>
    <row r="113" spans="1:35" x14ac:dyDescent="0.35">
      <c r="A113" s="857"/>
      <c r="B113" s="861"/>
      <c r="C113" s="889"/>
      <c r="D113" s="889"/>
      <c r="E113" s="947"/>
      <c r="F113" s="948">
        <f>0.001*IF(B113&gt;0,B113*'Emission Factors'!$B$1121,IF(C113&gt;0,C113*'Emission Factors'!$B$1122,IF(D113&gt;0,D113*'Emission Factors'!$B$1123,E113*'Emission Factors'!$B$1124)))</f>
        <v>0</v>
      </c>
      <c r="G113" s="689"/>
    </row>
    <row r="114" spans="1:35" x14ac:dyDescent="0.35">
      <c r="A114" s="857"/>
      <c r="B114" s="861"/>
      <c r="C114" s="889"/>
      <c r="D114" s="889"/>
      <c r="E114" s="947"/>
      <c r="F114" s="948">
        <f>0.001*IF(B114&gt;0,B114*'Emission Factors'!$B$1121,IF(C114&gt;0,C114*'Emission Factors'!$B$1122,IF(D114&gt;0,D114*'Emission Factors'!$B$1123,E114*'Emission Factors'!$B$1124)))</f>
        <v>0</v>
      </c>
      <c r="G114" s="689"/>
    </row>
    <row r="115" spans="1:35" x14ac:dyDescent="0.35">
      <c r="A115" s="857"/>
      <c r="B115" s="861"/>
      <c r="C115" s="889"/>
      <c r="D115" s="889"/>
      <c r="E115" s="947"/>
      <c r="F115" s="948">
        <f>0.001*IF(B115&gt;0,B115*'Emission Factors'!$B$1121,IF(C115&gt;0,C115*'Emission Factors'!$B$1122,IF(D115&gt;0,D115*'Emission Factors'!$B$1123,E115*'Emission Factors'!$B$1124)))</f>
        <v>0</v>
      </c>
      <c r="G115" s="689"/>
    </row>
    <row r="116" spans="1:35" x14ac:dyDescent="0.35">
      <c r="A116" s="857"/>
      <c r="B116" s="861"/>
      <c r="C116" s="889"/>
      <c r="D116" s="889"/>
      <c r="E116" s="947"/>
      <c r="F116" s="948">
        <f>0.001*IF(B116&gt;0,B116*'Emission Factors'!$B$1121,IF(C116&gt;0,C116*'Emission Factors'!$B$1122,IF(D116&gt;0,D116*'Emission Factors'!$B$1123,E116*'Emission Factors'!$B$1124)))</f>
        <v>0</v>
      </c>
      <c r="G116" s="689"/>
    </row>
    <row r="117" spans="1:35" x14ac:dyDescent="0.35">
      <c r="A117" s="857"/>
      <c r="B117" s="861"/>
      <c r="C117" s="889"/>
      <c r="D117" s="889"/>
      <c r="E117" s="947"/>
      <c r="F117" s="948">
        <f>0.001*IF(B117&gt;0,B117*'Emission Factors'!$B$1121,IF(C117&gt;0,C117*'Emission Factors'!$B$1122,IF(D117&gt;0,D117*'Emission Factors'!$B$1123,E117*'Emission Factors'!$B$1124)))</f>
        <v>0</v>
      </c>
      <c r="G117" s="689"/>
    </row>
    <row r="118" spans="1:35" ht="16" thickBot="1" x14ac:dyDescent="0.4">
      <c r="A118" s="857"/>
      <c r="B118" s="949"/>
      <c r="C118" s="950"/>
      <c r="D118" s="950"/>
      <c r="E118" s="951"/>
      <c r="F118" s="948">
        <f>0.001*IF(B118&gt;0,B118*'Emission Factors'!$B$1121,IF(C118&gt;0,C118*'Emission Factors'!$B$1122,IF(D118&gt;0,D118*'Emission Factors'!$B$1123,E118*'Emission Factors'!$B$1124)))</f>
        <v>0</v>
      </c>
      <c r="G118" s="689"/>
    </row>
    <row r="119" spans="1:35" ht="16" thickBot="1" x14ac:dyDescent="0.4">
      <c r="B119" s="845"/>
      <c r="C119" s="845"/>
      <c r="E119" s="952" t="s">
        <v>327</v>
      </c>
      <c r="F119" s="953">
        <f>SUM(F108:F118)</f>
        <v>0</v>
      </c>
      <c r="G119" s="689"/>
      <c r="H119" s="689"/>
    </row>
    <row r="120" spans="1:35" s="689" customFormat="1" ht="14.5" x14ac:dyDescent="0.35"/>
    <row r="121" spans="1:35" s="1498" customFormat="1" ht="31" x14ac:dyDescent="0.7">
      <c r="A121" s="1498" t="s">
        <v>678</v>
      </c>
      <c r="B121" s="1499"/>
      <c r="C121" s="1499"/>
      <c r="D121" s="1499"/>
      <c r="E121" s="1499"/>
      <c r="F121" s="1499"/>
      <c r="G121" s="1499"/>
      <c r="H121" s="1499"/>
      <c r="I121" s="1499"/>
      <c r="J121" s="1499"/>
      <c r="K121" s="1499"/>
      <c r="L121" s="1499"/>
      <c r="M121" s="1499"/>
      <c r="N121" s="1499"/>
      <c r="O121" s="1499"/>
      <c r="P121" s="1499"/>
      <c r="Q121" s="1499"/>
      <c r="R121" s="1499"/>
      <c r="S121" s="1499"/>
      <c r="T121" s="1499"/>
      <c r="U121" s="1499"/>
      <c r="V121" s="1499"/>
      <c r="W121" s="1499"/>
      <c r="X121" s="1499"/>
      <c r="Y121" s="1499"/>
      <c r="Z121" s="1499"/>
      <c r="AA121" s="1499"/>
      <c r="AB121" s="1499"/>
      <c r="AC121" s="1499"/>
      <c r="AD121" s="1499"/>
      <c r="AE121" s="1499"/>
      <c r="AF121" s="1499"/>
      <c r="AG121" s="1499"/>
      <c r="AH121" s="1499"/>
      <c r="AI121" s="1499"/>
    </row>
    <row r="122" spans="1:35" ht="16" thickBot="1" x14ac:dyDescent="0.4">
      <c r="C122" s="886"/>
      <c r="G122" s="689"/>
      <c r="H122" s="689"/>
    </row>
    <row r="123" spans="1:35" s="954" customFormat="1" ht="49.5" customHeight="1" x14ac:dyDescent="0.35">
      <c r="A123" s="837" t="s">
        <v>331</v>
      </c>
      <c r="B123" s="837" t="s">
        <v>741</v>
      </c>
      <c r="C123" s="837" t="s">
        <v>742</v>
      </c>
      <c r="D123" s="742" t="s">
        <v>1745</v>
      </c>
      <c r="H123" s="753"/>
      <c r="I123" s="753"/>
    </row>
    <row r="124" spans="1:35" x14ac:dyDescent="0.35">
      <c r="A124" s="889"/>
      <c r="B124" s="889"/>
      <c r="C124" s="955">
        <f>B124</f>
        <v>0</v>
      </c>
      <c r="D124" s="915">
        <f>C124*0.001*'Emission Factors'!$C$1116</f>
        <v>0</v>
      </c>
      <c r="H124" s="689"/>
      <c r="I124" s="689"/>
    </row>
    <row r="125" spans="1:35" x14ac:dyDescent="0.35">
      <c r="A125" s="889"/>
      <c r="B125" s="889"/>
      <c r="C125" s="955">
        <f t="shared" ref="C125:C134" si="8">B125</f>
        <v>0</v>
      </c>
      <c r="D125" s="915">
        <f>C125*0.001*'Emission Factors'!$C$1116</f>
        <v>0</v>
      </c>
      <c r="H125" s="689"/>
      <c r="I125" s="689"/>
    </row>
    <row r="126" spans="1:35" x14ac:dyDescent="0.35">
      <c r="A126" s="889"/>
      <c r="B126" s="889"/>
      <c r="C126" s="955">
        <f t="shared" si="8"/>
        <v>0</v>
      </c>
      <c r="D126" s="915">
        <f>C126*0.001*'Emission Factors'!$C$1116</f>
        <v>0</v>
      </c>
      <c r="H126" s="689"/>
      <c r="I126" s="689"/>
    </row>
    <row r="127" spans="1:35" x14ac:dyDescent="0.35">
      <c r="A127" s="889"/>
      <c r="B127" s="889"/>
      <c r="C127" s="955">
        <f t="shared" si="8"/>
        <v>0</v>
      </c>
      <c r="D127" s="915">
        <f>C127*0.001*'Emission Factors'!$C$1116</f>
        <v>0</v>
      </c>
      <c r="H127" s="689"/>
      <c r="I127" s="689"/>
    </row>
    <row r="128" spans="1:35" x14ac:dyDescent="0.35">
      <c r="A128" s="889"/>
      <c r="B128" s="889"/>
      <c r="C128" s="955">
        <f t="shared" si="8"/>
        <v>0</v>
      </c>
      <c r="D128" s="915">
        <f>C128*0.001*'Emission Factors'!$C$1116</f>
        <v>0</v>
      </c>
      <c r="H128" s="689"/>
      <c r="I128" s="689"/>
    </row>
    <row r="129" spans="1:36" x14ac:dyDescent="0.35">
      <c r="A129" s="889"/>
      <c r="B129" s="889"/>
      <c r="C129" s="955">
        <f t="shared" si="8"/>
        <v>0</v>
      </c>
      <c r="D129" s="915">
        <f>C129*0.001*'Emission Factors'!$C$1116</f>
        <v>0</v>
      </c>
      <c r="H129" s="689"/>
      <c r="I129" s="689"/>
    </row>
    <row r="130" spans="1:36" x14ac:dyDescent="0.35">
      <c r="A130" s="889"/>
      <c r="B130" s="889"/>
      <c r="C130" s="955">
        <f t="shared" si="8"/>
        <v>0</v>
      </c>
      <c r="D130" s="915">
        <f>C130*0.001*'Emission Factors'!$C$1116</f>
        <v>0</v>
      </c>
      <c r="H130" s="689"/>
      <c r="I130" s="689"/>
    </row>
    <row r="131" spans="1:36" x14ac:dyDescent="0.35">
      <c r="A131" s="889"/>
      <c r="B131" s="889"/>
      <c r="C131" s="955">
        <f t="shared" si="8"/>
        <v>0</v>
      </c>
      <c r="D131" s="915">
        <f>C131*0.001*'Emission Factors'!$C$1116</f>
        <v>0</v>
      </c>
      <c r="H131" s="689"/>
      <c r="I131" s="689"/>
    </row>
    <row r="132" spans="1:36" x14ac:dyDescent="0.35">
      <c r="A132" s="889"/>
      <c r="B132" s="889"/>
      <c r="C132" s="955">
        <f t="shared" si="8"/>
        <v>0</v>
      </c>
      <c r="D132" s="915">
        <f>C132*0.001*'Emission Factors'!$C$1116</f>
        <v>0</v>
      </c>
      <c r="H132" s="689"/>
      <c r="I132" s="689"/>
    </row>
    <row r="133" spans="1:36" x14ac:dyDescent="0.35">
      <c r="A133" s="889"/>
      <c r="B133" s="889"/>
      <c r="C133" s="955">
        <f t="shared" si="8"/>
        <v>0</v>
      </c>
      <c r="D133" s="915">
        <f>C133*0.001*'Emission Factors'!$C$1116</f>
        <v>0</v>
      </c>
      <c r="H133" s="689"/>
      <c r="I133" s="689"/>
    </row>
    <row r="134" spans="1:36" x14ac:dyDescent="0.35">
      <c r="A134" s="889"/>
      <c r="B134" s="889"/>
      <c r="C134" s="955">
        <f t="shared" si="8"/>
        <v>0</v>
      </c>
      <c r="D134" s="915">
        <f>C134*0.001*'Emission Factors'!$C$1116</f>
        <v>0</v>
      </c>
      <c r="H134" s="689"/>
      <c r="I134" s="689"/>
    </row>
    <row r="135" spans="1:36" ht="16" thickBot="1" x14ac:dyDescent="0.4">
      <c r="C135" s="936" t="s">
        <v>327</v>
      </c>
      <c r="D135" s="927">
        <f>SUM(D124:D134)</f>
        <v>0</v>
      </c>
      <c r="G135" s="689"/>
      <c r="H135" s="689"/>
    </row>
    <row r="136" spans="1:36" x14ac:dyDescent="0.35">
      <c r="C136" s="886"/>
      <c r="G136" s="689"/>
      <c r="H136" s="689"/>
    </row>
    <row r="137" spans="1:36" s="1498" customFormat="1" ht="31" x14ac:dyDescent="0.7">
      <c r="A137" s="1498" t="s">
        <v>679</v>
      </c>
      <c r="B137" s="1499"/>
      <c r="C137" s="1499"/>
      <c r="D137" s="1499"/>
      <c r="E137" s="1499"/>
      <c r="F137" s="1499"/>
      <c r="G137" s="1499"/>
      <c r="H137" s="1499"/>
      <c r="I137" s="1499"/>
      <c r="J137" s="1499"/>
      <c r="K137" s="1499"/>
      <c r="L137" s="1499"/>
      <c r="M137" s="1499"/>
      <c r="N137" s="1499"/>
      <c r="O137" s="1499"/>
      <c r="P137" s="1499"/>
      <c r="Q137" s="1499"/>
      <c r="R137" s="1499"/>
      <c r="S137" s="1499"/>
      <c r="T137" s="1499"/>
      <c r="U137" s="1499"/>
      <c r="V137" s="1499"/>
      <c r="W137" s="1499"/>
      <c r="X137" s="1499"/>
      <c r="Y137" s="1499"/>
      <c r="Z137" s="1499"/>
      <c r="AA137" s="1499"/>
      <c r="AB137" s="1499"/>
      <c r="AC137" s="1499"/>
      <c r="AD137" s="1499"/>
      <c r="AE137" s="1499"/>
      <c r="AF137" s="1499"/>
      <c r="AG137" s="1499"/>
      <c r="AH137" s="1499"/>
      <c r="AI137" s="1499"/>
      <c r="AJ137" s="1499"/>
    </row>
    <row r="138" spans="1:36" ht="16" thickBot="1" x14ac:dyDescent="0.4">
      <c r="C138" s="886"/>
      <c r="G138" s="689"/>
      <c r="H138" s="689"/>
    </row>
    <row r="139" spans="1:36" ht="31" x14ac:dyDescent="0.35">
      <c r="A139" s="837" t="s">
        <v>743</v>
      </c>
      <c r="B139" s="720" t="s">
        <v>744</v>
      </c>
      <c r="C139" s="720" t="s">
        <v>745</v>
      </c>
      <c r="D139" s="720" t="s">
        <v>1746</v>
      </c>
      <c r="E139" s="742" t="s">
        <v>1745</v>
      </c>
      <c r="F139" s="689"/>
      <c r="G139" s="689"/>
    </row>
    <row r="140" spans="1:36" x14ac:dyDescent="0.35">
      <c r="A140" s="956" t="s">
        <v>746</v>
      </c>
      <c r="B140" s="889"/>
      <c r="C140" s="957">
        <v>1.1000000000000001</v>
      </c>
      <c r="D140" s="955">
        <f>(B140*C140)*0.001</f>
        <v>0</v>
      </c>
      <c r="E140" s="915">
        <f>D140*'Emission Factors'!C1178</f>
        <v>0</v>
      </c>
      <c r="F140" s="689"/>
      <c r="G140" s="689"/>
    </row>
    <row r="141" spans="1:36" x14ac:dyDescent="0.35">
      <c r="A141" s="956" t="s">
        <v>747</v>
      </c>
      <c r="B141" s="889"/>
      <c r="C141" s="957">
        <v>1.1000000000000001</v>
      </c>
      <c r="D141" s="955">
        <f t="shared" ref="D141:D149" si="9">(B141*C141)*0.001</f>
        <v>0</v>
      </c>
      <c r="E141" s="915">
        <f>D141*'Emission Factors'!C1179</f>
        <v>0</v>
      </c>
      <c r="F141" s="689"/>
    </row>
    <row r="142" spans="1:36" x14ac:dyDescent="0.35">
      <c r="A142" s="956" t="s">
        <v>748</v>
      </c>
      <c r="B142" s="889"/>
      <c r="C142" s="957">
        <v>0.9</v>
      </c>
      <c r="D142" s="955">
        <f t="shared" si="9"/>
        <v>0</v>
      </c>
      <c r="E142" s="915">
        <f>D142*'Emission Factors'!C1180</f>
        <v>0</v>
      </c>
      <c r="F142" s="689"/>
    </row>
    <row r="143" spans="1:36" x14ac:dyDescent="0.35">
      <c r="A143" s="956" t="s">
        <v>749</v>
      </c>
      <c r="B143" s="889"/>
      <c r="C143" s="957">
        <v>1.38</v>
      </c>
      <c r="D143" s="955">
        <f t="shared" si="9"/>
        <v>0</v>
      </c>
      <c r="E143" s="915">
        <f>D143*'Emission Factors'!C1181</f>
        <v>0</v>
      </c>
      <c r="F143" s="689"/>
    </row>
    <row r="144" spans="1:36" x14ac:dyDescent="0.35">
      <c r="A144" s="956" t="s">
        <v>750</v>
      </c>
      <c r="B144" s="889"/>
      <c r="C144" s="957">
        <v>7.0000000000000007E-2</v>
      </c>
      <c r="D144" s="955">
        <f t="shared" si="9"/>
        <v>0</v>
      </c>
      <c r="E144" s="915">
        <f>D144*'Emission Factors'!C1182</f>
        <v>0</v>
      </c>
      <c r="F144" s="689"/>
    </row>
    <row r="145" spans="1:35" x14ac:dyDescent="0.35">
      <c r="A145" s="956" t="s">
        <v>751</v>
      </c>
      <c r="B145" s="889"/>
      <c r="C145" s="957">
        <v>2.2999999999999998</v>
      </c>
      <c r="D145" s="955">
        <f t="shared" si="9"/>
        <v>0</v>
      </c>
      <c r="E145" s="915">
        <f>D145*'Emission Factors'!C1183</f>
        <v>0</v>
      </c>
      <c r="F145" s="689"/>
    </row>
    <row r="146" spans="1:35" x14ac:dyDescent="0.35">
      <c r="A146" s="956" t="s">
        <v>752</v>
      </c>
      <c r="B146" s="889"/>
      <c r="C146" s="957">
        <v>0.14000000000000001</v>
      </c>
      <c r="D146" s="955">
        <f t="shared" si="9"/>
        <v>0</v>
      </c>
      <c r="E146" s="915">
        <f>D146*'Emission Factors'!C1184</f>
        <v>0</v>
      </c>
      <c r="F146" s="689"/>
    </row>
    <row r="147" spans="1:35" x14ac:dyDescent="0.35">
      <c r="A147" s="956" t="s">
        <v>753</v>
      </c>
      <c r="B147" s="889"/>
      <c r="C147" s="957">
        <v>0.97</v>
      </c>
      <c r="D147" s="955">
        <f t="shared" si="9"/>
        <v>0</v>
      </c>
      <c r="E147" s="915">
        <f>D147*'Emission Factors'!C1185</f>
        <v>0</v>
      </c>
      <c r="F147" s="689"/>
    </row>
    <row r="148" spans="1:35" x14ac:dyDescent="0.35">
      <c r="A148" s="956" t="s">
        <v>754</v>
      </c>
      <c r="B148" s="889"/>
      <c r="C148" s="957">
        <v>0.6</v>
      </c>
      <c r="D148" s="955">
        <f t="shared" si="9"/>
        <v>0</v>
      </c>
      <c r="E148" s="915">
        <f>D148*'Emission Factors'!C1186</f>
        <v>0</v>
      </c>
      <c r="F148" s="689"/>
    </row>
    <row r="149" spans="1:35" x14ac:dyDescent="0.35">
      <c r="A149" s="956" t="s">
        <v>755</v>
      </c>
      <c r="B149" s="889"/>
      <c r="C149" s="957">
        <v>1</v>
      </c>
      <c r="D149" s="955">
        <f t="shared" si="9"/>
        <v>0</v>
      </c>
      <c r="E149" s="915">
        <f>D149*'Emission Factors'!C1187</f>
        <v>0</v>
      </c>
      <c r="F149" s="689"/>
    </row>
    <row r="150" spans="1:35" ht="16" thickBot="1" x14ac:dyDescent="0.4">
      <c r="C150" s="886"/>
      <c r="D150" s="936" t="s">
        <v>327</v>
      </c>
      <c r="E150" s="927">
        <f>SUM(E140:E149)</f>
        <v>0</v>
      </c>
      <c r="F150" s="689"/>
    </row>
    <row r="151" spans="1:35" x14ac:dyDescent="0.35">
      <c r="C151" s="886"/>
      <c r="G151" s="689"/>
      <c r="H151" s="689"/>
    </row>
    <row r="152" spans="1:35" s="1498" customFormat="1" ht="31" x14ac:dyDescent="0.7">
      <c r="A152" s="1498" t="s">
        <v>680</v>
      </c>
      <c r="B152" s="1499"/>
      <c r="C152" s="1499"/>
      <c r="D152" s="1499"/>
      <c r="E152" s="1499"/>
      <c r="F152" s="1499"/>
      <c r="G152" s="1499"/>
      <c r="H152" s="1499"/>
      <c r="I152" s="1499"/>
      <c r="J152" s="1499"/>
      <c r="K152" s="1499"/>
      <c r="L152" s="1499"/>
      <c r="M152" s="1499"/>
      <c r="N152" s="1499"/>
      <c r="O152" s="1499"/>
      <c r="P152" s="1499"/>
      <c r="Q152" s="1499"/>
      <c r="R152" s="1499"/>
      <c r="S152" s="1499"/>
      <c r="T152" s="1499"/>
      <c r="U152" s="1499"/>
      <c r="V152" s="1499"/>
      <c r="W152" s="1499"/>
      <c r="X152" s="1499"/>
      <c r="Y152" s="1499"/>
      <c r="Z152" s="1499"/>
      <c r="AA152" s="1499"/>
      <c r="AB152" s="1499"/>
      <c r="AC152" s="1499"/>
      <c r="AD152" s="1499"/>
      <c r="AE152" s="1499"/>
      <c r="AF152" s="1499"/>
      <c r="AG152" s="1499"/>
      <c r="AH152" s="1499"/>
      <c r="AI152" s="1499"/>
    </row>
    <row r="153" spans="1:35" ht="16" thickBot="1" x14ac:dyDescent="0.4">
      <c r="C153" s="886"/>
      <c r="G153" s="689"/>
      <c r="H153" s="689"/>
    </row>
    <row r="154" spans="1:35" ht="31" x14ac:dyDescent="0.35">
      <c r="A154" s="672" t="s">
        <v>756</v>
      </c>
      <c r="B154" s="672" t="s">
        <v>1747</v>
      </c>
      <c r="C154" s="742" t="s">
        <v>1745</v>
      </c>
      <c r="F154" s="689"/>
      <c r="G154" s="689"/>
    </row>
    <row r="155" spans="1:35" x14ac:dyDescent="0.35">
      <c r="A155" s="692" t="s">
        <v>757</v>
      </c>
      <c r="B155" s="692"/>
      <c r="C155" s="903">
        <f>IFERROR(SUM(B155*'Emission Factors'!C1172*0.001), " ")</f>
        <v>0</v>
      </c>
      <c r="F155" s="689"/>
      <c r="G155" s="689"/>
    </row>
    <row r="156" spans="1:35" x14ac:dyDescent="0.35">
      <c r="A156" s="692" t="s">
        <v>758</v>
      </c>
      <c r="B156" s="692"/>
      <c r="C156" s="903">
        <f>IFERROR(SUM(B156*'Emission Factors'!C1173*0.001), " ")</f>
        <v>0</v>
      </c>
      <c r="F156" s="689"/>
      <c r="G156" s="689"/>
    </row>
    <row r="157" spans="1:35" ht="16" thickBot="1" x14ac:dyDescent="0.4">
      <c r="B157" s="936" t="s">
        <v>327</v>
      </c>
      <c r="C157" s="927">
        <f>SUM(C155:C156)</f>
        <v>0</v>
      </c>
      <c r="F157" s="689"/>
      <c r="G157" s="689"/>
    </row>
    <row r="158" spans="1:35" ht="16" thickBot="1" x14ac:dyDescent="0.4">
      <c r="C158" s="886"/>
      <c r="G158" s="689"/>
      <c r="H158" s="689"/>
    </row>
    <row r="159" spans="1:35" ht="21.5" thickBot="1" x14ac:dyDescent="0.55000000000000004">
      <c r="A159" s="958" t="s">
        <v>759</v>
      </c>
      <c r="B159" s="1544" t="s">
        <v>760</v>
      </c>
      <c r="C159" s="1495"/>
      <c r="E159" s="886"/>
      <c r="I159" s="689"/>
      <c r="J159" s="689"/>
    </row>
    <row r="160" spans="1:35" ht="31" x14ac:dyDescent="0.35">
      <c r="A160" s="661" t="s">
        <v>761</v>
      </c>
      <c r="B160" s="672" t="s">
        <v>1749</v>
      </c>
      <c r="C160" s="959" t="s">
        <v>1748</v>
      </c>
      <c r="D160" s="742" t="s">
        <v>1745</v>
      </c>
      <c r="G160" s="689"/>
      <c r="H160" s="689"/>
    </row>
    <row r="161" spans="1:35" x14ac:dyDescent="0.35">
      <c r="A161" s="692"/>
      <c r="B161" s="692"/>
      <c r="C161" s="692"/>
      <c r="D161" s="903">
        <f t="shared" ref="D161:D170" si="10">IFERROR(SUM(B161*C161), " ")</f>
        <v>0</v>
      </c>
      <c r="G161" s="689"/>
      <c r="H161" s="689"/>
    </row>
    <row r="162" spans="1:35" x14ac:dyDescent="0.35">
      <c r="A162" s="692"/>
      <c r="B162" s="692"/>
      <c r="C162" s="692"/>
      <c r="D162" s="903">
        <f t="shared" si="10"/>
        <v>0</v>
      </c>
      <c r="G162" s="689"/>
      <c r="H162" s="689"/>
    </row>
    <row r="163" spans="1:35" x14ac:dyDescent="0.35">
      <c r="A163" s="692"/>
      <c r="B163" s="692"/>
      <c r="C163" s="692"/>
      <c r="D163" s="903">
        <f t="shared" si="10"/>
        <v>0</v>
      </c>
      <c r="G163" s="689"/>
      <c r="H163" s="689"/>
    </row>
    <row r="164" spans="1:35" x14ac:dyDescent="0.35">
      <c r="A164" s="692"/>
      <c r="B164" s="692"/>
      <c r="C164" s="692"/>
      <c r="D164" s="903">
        <f t="shared" si="10"/>
        <v>0</v>
      </c>
      <c r="G164" s="689"/>
      <c r="H164" s="689"/>
    </row>
    <row r="165" spans="1:35" x14ac:dyDescent="0.35">
      <c r="A165" s="692"/>
      <c r="B165" s="692"/>
      <c r="C165" s="692"/>
      <c r="D165" s="903">
        <f t="shared" si="10"/>
        <v>0</v>
      </c>
      <c r="G165" s="689"/>
      <c r="H165" s="689"/>
    </row>
    <row r="166" spans="1:35" x14ac:dyDescent="0.35">
      <c r="A166" s="692"/>
      <c r="B166" s="692"/>
      <c r="C166" s="692"/>
      <c r="D166" s="903">
        <f t="shared" si="10"/>
        <v>0</v>
      </c>
      <c r="G166" s="689"/>
      <c r="H166" s="689"/>
    </row>
    <row r="167" spans="1:35" x14ac:dyDescent="0.35">
      <c r="A167" s="692"/>
      <c r="B167" s="692"/>
      <c r="C167" s="692"/>
      <c r="D167" s="903">
        <f t="shared" si="10"/>
        <v>0</v>
      </c>
      <c r="G167" s="689"/>
      <c r="H167" s="689"/>
    </row>
    <row r="168" spans="1:35" x14ac:dyDescent="0.35">
      <c r="A168" s="692"/>
      <c r="B168" s="692"/>
      <c r="C168" s="692"/>
      <c r="D168" s="903">
        <f t="shared" si="10"/>
        <v>0</v>
      </c>
      <c r="G168" s="689"/>
      <c r="H168" s="689"/>
    </row>
    <row r="169" spans="1:35" x14ac:dyDescent="0.35">
      <c r="A169" s="692"/>
      <c r="B169" s="692"/>
      <c r="C169" s="692"/>
      <c r="D169" s="903">
        <f t="shared" si="10"/>
        <v>0</v>
      </c>
      <c r="G169" s="689"/>
      <c r="H169" s="689"/>
    </row>
    <row r="170" spans="1:35" x14ac:dyDescent="0.35">
      <c r="A170" s="692"/>
      <c r="B170" s="692"/>
      <c r="C170" s="692"/>
      <c r="D170" s="903">
        <f t="shared" si="10"/>
        <v>0</v>
      </c>
      <c r="G170" s="689"/>
      <c r="H170" s="689"/>
    </row>
    <row r="171" spans="1:35" ht="16" thickBot="1" x14ac:dyDescent="0.4">
      <c r="C171" s="936" t="s">
        <v>327</v>
      </c>
      <c r="D171" s="927">
        <f>SUM(D161:D170)</f>
        <v>0</v>
      </c>
      <c r="G171" s="689"/>
      <c r="H171" s="689"/>
    </row>
    <row r="172" spans="1:35" x14ac:dyDescent="0.35">
      <c r="G172" s="689"/>
      <c r="H172" s="689"/>
    </row>
    <row r="173" spans="1:35" x14ac:dyDescent="0.35">
      <c r="C173" s="845"/>
      <c r="D173" s="845"/>
      <c r="G173" s="689"/>
      <c r="H173" s="689"/>
    </row>
    <row r="174" spans="1:35" s="1498" customFormat="1" ht="31" x14ac:dyDescent="0.7">
      <c r="A174" s="1498" t="s">
        <v>681</v>
      </c>
      <c r="B174" s="1499"/>
      <c r="C174" s="1499"/>
      <c r="D174" s="1499"/>
      <c r="E174" s="1499"/>
      <c r="F174" s="1499"/>
      <c r="G174" s="1499"/>
      <c r="H174" s="1499"/>
      <c r="I174" s="1499"/>
      <c r="J174" s="1499"/>
      <c r="K174" s="1499"/>
      <c r="L174" s="1499"/>
      <c r="M174" s="1499"/>
      <c r="N174" s="1499"/>
      <c r="O174" s="1499"/>
      <c r="P174" s="1499"/>
      <c r="Q174" s="1499"/>
      <c r="R174" s="1499"/>
      <c r="S174" s="1499"/>
      <c r="T174" s="1499"/>
      <c r="U174" s="1499"/>
      <c r="V174" s="1499"/>
      <c r="W174" s="1499"/>
      <c r="X174" s="1499"/>
      <c r="Y174" s="1499"/>
      <c r="Z174" s="1499"/>
      <c r="AA174" s="1499"/>
      <c r="AB174" s="1499"/>
      <c r="AC174" s="1499"/>
      <c r="AD174" s="1499"/>
      <c r="AE174" s="1499"/>
      <c r="AF174" s="1499"/>
      <c r="AG174" s="1499"/>
      <c r="AH174" s="1499"/>
      <c r="AI174" s="1499"/>
    </row>
    <row r="175" spans="1:35" ht="16" thickBot="1" x14ac:dyDescent="0.4">
      <c r="C175" s="886"/>
      <c r="G175" s="689"/>
      <c r="H175" s="689"/>
    </row>
    <row r="176" spans="1:35" ht="31" x14ac:dyDescent="0.35">
      <c r="A176" s="672" t="s">
        <v>762</v>
      </c>
      <c r="B176" s="672" t="s">
        <v>1844</v>
      </c>
      <c r="C176" s="672" t="s">
        <v>763</v>
      </c>
      <c r="D176" s="672" t="s">
        <v>764</v>
      </c>
      <c r="E176" s="742" t="s">
        <v>1745</v>
      </c>
      <c r="H176" s="689"/>
      <c r="I176" s="689"/>
    </row>
    <row r="177" spans="1:11" x14ac:dyDescent="0.35">
      <c r="A177" s="628" t="s">
        <v>765</v>
      </c>
      <c r="B177" s="692"/>
      <c r="C177" s="628">
        <v>0.99819999999999998</v>
      </c>
      <c r="D177" s="960">
        <f>B177*C177</f>
        <v>0</v>
      </c>
      <c r="E177" s="903">
        <f>('Emission Factors'!C1192*D177)*0.001</f>
        <v>0</v>
      </c>
      <c r="H177" s="689"/>
      <c r="I177" s="689"/>
    </row>
    <row r="178" spans="1:11" x14ac:dyDescent="0.35">
      <c r="A178" s="628" t="s">
        <v>766</v>
      </c>
      <c r="B178" s="692"/>
      <c r="C178" s="628">
        <v>0.898698</v>
      </c>
      <c r="D178" s="960">
        <f t="shared" ref="D178:D191" si="11">B178*C178</f>
        <v>0</v>
      </c>
      <c r="E178" s="903">
        <f>('Emission Factors'!C1193*D178)*0.001</f>
        <v>0</v>
      </c>
      <c r="H178" s="689"/>
      <c r="I178" s="689"/>
    </row>
    <row r="179" spans="1:11" x14ac:dyDescent="0.35">
      <c r="A179" s="628" t="s">
        <v>767</v>
      </c>
      <c r="B179" s="692"/>
      <c r="C179" s="628">
        <v>1.53</v>
      </c>
      <c r="D179" s="960">
        <f t="shared" si="11"/>
        <v>0</v>
      </c>
      <c r="E179" s="903">
        <f>('Emission Factors'!C1194*D179)*0.001</f>
        <v>0</v>
      </c>
      <c r="H179" s="689"/>
      <c r="I179" s="689"/>
    </row>
    <row r="180" spans="1:11" x14ac:dyDescent="0.35">
      <c r="A180" s="628" t="s">
        <v>768</v>
      </c>
      <c r="B180" s="692"/>
      <c r="C180" s="628">
        <v>1.62</v>
      </c>
      <c r="D180" s="960">
        <f t="shared" si="11"/>
        <v>0</v>
      </c>
      <c r="E180" s="903">
        <f>('Emission Factors'!C1195*D180)*0.001</f>
        <v>0</v>
      </c>
      <c r="H180" s="689"/>
      <c r="I180" s="689"/>
    </row>
    <row r="181" spans="1:11" x14ac:dyDescent="0.35">
      <c r="A181" s="628" t="s">
        <v>769</v>
      </c>
      <c r="B181" s="692"/>
      <c r="C181" s="628">
        <v>1.62</v>
      </c>
      <c r="D181" s="960">
        <f t="shared" si="11"/>
        <v>0</v>
      </c>
      <c r="E181" s="903">
        <f>('Emission Factors'!C1196*D181)*0.001</f>
        <v>0</v>
      </c>
      <c r="F181" s="886"/>
      <c r="J181" s="689"/>
      <c r="K181" s="689"/>
    </row>
    <row r="182" spans="1:11" x14ac:dyDescent="0.35">
      <c r="A182" s="628" t="s">
        <v>770</v>
      </c>
      <c r="B182" s="692"/>
      <c r="C182" s="628">
        <v>1.39</v>
      </c>
      <c r="D182" s="960">
        <f t="shared" si="11"/>
        <v>0</v>
      </c>
      <c r="E182" s="903">
        <f>('Emission Factors'!C1197*D182)*0.001</f>
        <v>0</v>
      </c>
      <c r="H182" s="689"/>
      <c r="I182" s="689"/>
    </row>
    <row r="183" spans="1:11" x14ac:dyDescent="0.35">
      <c r="A183" s="628" t="s">
        <v>1916</v>
      </c>
      <c r="B183" s="692"/>
      <c r="C183" s="628">
        <v>1.46</v>
      </c>
      <c r="D183" s="960">
        <f t="shared" si="11"/>
        <v>0</v>
      </c>
      <c r="E183" s="903">
        <f>('Emission Factors'!C1198*D183)*0.001</f>
        <v>0</v>
      </c>
      <c r="H183" s="689"/>
      <c r="I183" s="689"/>
    </row>
    <row r="184" spans="1:11" x14ac:dyDescent="0.35">
      <c r="A184" s="628" t="s">
        <v>772</v>
      </c>
      <c r="B184" s="692"/>
      <c r="C184" s="628">
        <v>2.12</v>
      </c>
      <c r="D184" s="960">
        <f t="shared" si="11"/>
        <v>0</v>
      </c>
      <c r="E184" s="903">
        <f>('Emission Factors'!C1199*D184)*0.001</f>
        <v>0</v>
      </c>
      <c r="H184" s="689"/>
      <c r="I184" s="689"/>
    </row>
    <row r="185" spans="1:11" x14ac:dyDescent="0.35">
      <c r="A185" s="628" t="s">
        <v>773</v>
      </c>
      <c r="B185" s="692"/>
      <c r="C185" s="628">
        <v>2.13</v>
      </c>
      <c r="D185" s="960">
        <f t="shared" si="11"/>
        <v>0</v>
      </c>
      <c r="E185" s="903">
        <f>('Emission Factors'!C1200*D185)*0.001</f>
        <v>0</v>
      </c>
      <c r="H185" s="689"/>
      <c r="I185" s="689"/>
    </row>
    <row r="186" spans="1:11" x14ac:dyDescent="0.35">
      <c r="A186" s="628" t="s">
        <v>774</v>
      </c>
      <c r="B186" s="692"/>
      <c r="C186" s="628">
        <v>1.49</v>
      </c>
      <c r="D186" s="960">
        <f t="shared" si="11"/>
        <v>0</v>
      </c>
      <c r="E186" s="903">
        <f>('Emission Factors'!C1201*D186)*0.001</f>
        <v>0</v>
      </c>
      <c r="H186" s="689"/>
      <c r="I186" s="689"/>
    </row>
    <row r="187" spans="1:11" x14ac:dyDescent="0.35">
      <c r="A187" s="628" t="s">
        <v>775</v>
      </c>
      <c r="B187" s="692"/>
      <c r="C187" s="628">
        <v>1.45</v>
      </c>
      <c r="D187" s="960">
        <f t="shared" si="11"/>
        <v>0</v>
      </c>
      <c r="E187" s="903">
        <f>('Emission Factors'!C1202*D187)*0.001</f>
        <v>0</v>
      </c>
      <c r="H187" s="689"/>
      <c r="I187" s="689"/>
    </row>
    <row r="188" spans="1:11" x14ac:dyDescent="0.35">
      <c r="A188" s="628" t="s">
        <v>776</v>
      </c>
      <c r="B188" s="692"/>
      <c r="C188" s="628">
        <v>1.1100000000000001</v>
      </c>
      <c r="D188" s="960">
        <f t="shared" si="11"/>
        <v>0</v>
      </c>
      <c r="E188" s="903">
        <f>('Emission Factors'!C1203*D188)*0.001</f>
        <v>0</v>
      </c>
      <c r="H188" s="689"/>
      <c r="I188" s="689"/>
    </row>
    <row r="189" spans="1:11" x14ac:dyDescent="0.35">
      <c r="A189" s="628" t="s">
        <v>777</v>
      </c>
      <c r="B189" s="692"/>
      <c r="C189" s="628">
        <v>1.64</v>
      </c>
      <c r="D189" s="960">
        <f t="shared" si="11"/>
        <v>0</v>
      </c>
      <c r="E189" s="903">
        <f>('Emission Factors'!C1204*D189)*0.001</f>
        <v>0</v>
      </c>
      <c r="H189" s="689"/>
      <c r="I189" s="689"/>
    </row>
    <row r="190" spans="1:11" x14ac:dyDescent="0.35">
      <c r="A190" s="628" t="s">
        <v>778</v>
      </c>
      <c r="B190" s="692"/>
      <c r="C190" s="628">
        <v>2.16</v>
      </c>
      <c r="D190" s="960">
        <f t="shared" si="11"/>
        <v>0</v>
      </c>
      <c r="E190" s="903">
        <f>('Emission Factors'!C1205*D190)*0.001</f>
        <v>0</v>
      </c>
      <c r="H190" s="689"/>
      <c r="I190" s="689"/>
    </row>
    <row r="191" spans="1:11" x14ac:dyDescent="0.35">
      <c r="A191" s="628" t="s">
        <v>779</v>
      </c>
      <c r="B191" s="692"/>
      <c r="C191" s="628">
        <v>1.32</v>
      </c>
      <c r="D191" s="960">
        <f t="shared" si="11"/>
        <v>0</v>
      </c>
      <c r="E191" s="903">
        <f>('Emission Factors'!C1206*D191)*0.001</f>
        <v>0</v>
      </c>
      <c r="H191" s="689"/>
      <c r="I191" s="689"/>
    </row>
    <row r="192" spans="1:11" ht="16" thickBot="1" x14ac:dyDescent="0.4">
      <c r="C192" s="845"/>
      <c r="D192" s="936" t="s">
        <v>327</v>
      </c>
      <c r="E192" s="927">
        <f>SUM(E177:E191)</f>
        <v>0</v>
      </c>
      <c r="H192" s="689"/>
      <c r="I192" s="689"/>
    </row>
    <row r="193" spans="1:10" ht="16" thickBot="1" x14ac:dyDescent="0.4"/>
    <row r="194" spans="1:10" ht="29" thickBot="1" x14ac:dyDescent="0.7">
      <c r="A194" s="961" t="s">
        <v>335</v>
      </c>
    </row>
    <row r="195" spans="1:10" ht="16" thickBot="1" x14ac:dyDescent="0.4"/>
    <row r="196" spans="1:10" ht="31" x14ac:dyDescent="0.35">
      <c r="A196" s="672" t="s">
        <v>762</v>
      </c>
      <c r="B196" s="672" t="s">
        <v>725</v>
      </c>
      <c r="C196" s="672" t="s">
        <v>763</v>
      </c>
      <c r="D196" s="742" t="s">
        <v>1745</v>
      </c>
      <c r="G196" s="689"/>
      <c r="H196" s="689"/>
    </row>
    <row r="197" spans="1:10" x14ac:dyDescent="0.35">
      <c r="A197" s="628" t="s">
        <v>765</v>
      </c>
      <c r="B197" s="692"/>
      <c r="C197" s="628">
        <v>0.99819999999999998</v>
      </c>
      <c r="D197" s="903">
        <f>('Emission Factors'!C1192*B197)*0.001</f>
        <v>0</v>
      </c>
      <c r="G197" s="689"/>
      <c r="H197" s="689"/>
    </row>
    <row r="198" spans="1:10" x14ac:dyDescent="0.35">
      <c r="A198" s="628" t="s">
        <v>766</v>
      </c>
      <c r="B198" s="692"/>
      <c r="C198" s="628">
        <v>0.898698</v>
      </c>
      <c r="D198" s="903">
        <f>('Emission Factors'!C1193*B198)*0.001</f>
        <v>0</v>
      </c>
      <c r="G198" s="689"/>
      <c r="H198" s="689"/>
    </row>
    <row r="199" spans="1:10" x14ac:dyDescent="0.35">
      <c r="A199" s="628" t="s">
        <v>767</v>
      </c>
      <c r="B199" s="692"/>
      <c r="C199" s="628">
        <v>1.53</v>
      </c>
      <c r="D199" s="903">
        <f>('Emission Factors'!C1194*B199)*0.001</f>
        <v>0</v>
      </c>
      <c r="G199" s="689"/>
      <c r="H199" s="689"/>
    </row>
    <row r="200" spans="1:10" x14ac:dyDescent="0.35">
      <c r="A200" s="628" t="s">
        <v>768</v>
      </c>
      <c r="B200" s="692"/>
      <c r="C200" s="628">
        <v>1.62</v>
      </c>
      <c r="D200" s="903">
        <f>('Emission Factors'!C1195*B200)*0.001</f>
        <v>0</v>
      </c>
      <c r="G200" s="689"/>
      <c r="H200" s="689"/>
    </row>
    <row r="201" spans="1:10" x14ac:dyDescent="0.35">
      <c r="A201" s="628" t="s">
        <v>769</v>
      </c>
      <c r="B201" s="692"/>
      <c r="C201" s="628">
        <v>1.62</v>
      </c>
      <c r="D201" s="903">
        <f>('Emission Factors'!C1196*B201)*0.001</f>
        <v>0</v>
      </c>
      <c r="E201" s="886"/>
      <c r="I201" s="689"/>
      <c r="J201" s="689"/>
    </row>
    <row r="202" spans="1:10" x14ac:dyDescent="0.35">
      <c r="A202" s="628" t="s">
        <v>770</v>
      </c>
      <c r="B202" s="692"/>
      <c r="C202" s="628">
        <v>1.39</v>
      </c>
      <c r="D202" s="903">
        <f>('Emission Factors'!C1197*B202)*0.001</f>
        <v>0</v>
      </c>
      <c r="G202" s="689"/>
      <c r="H202" s="689"/>
    </row>
    <row r="203" spans="1:10" x14ac:dyDescent="0.35">
      <c r="A203" s="628" t="s">
        <v>1925</v>
      </c>
      <c r="B203" s="692"/>
      <c r="C203" s="628">
        <v>1.46</v>
      </c>
      <c r="D203" s="903">
        <f>('Emission Factors'!C1198*B203)*0.001</f>
        <v>0</v>
      </c>
      <c r="G203" s="689"/>
      <c r="H203" s="689"/>
    </row>
    <row r="204" spans="1:10" x14ac:dyDescent="0.35">
      <c r="A204" s="628" t="s">
        <v>772</v>
      </c>
      <c r="B204" s="692"/>
      <c r="C204" s="628">
        <v>2.12</v>
      </c>
      <c r="D204" s="903">
        <f>('Emission Factors'!C1199*B204)*0.001</f>
        <v>0</v>
      </c>
      <c r="G204" s="689"/>
      <c r="H204" s="689"/>
    </row>
    <row r="205" spans="1:10" x14ac:dyDescent="0.35">
      <c r="A205" s="628" t="s">
        <v>773</v>
      </c>
      <c r="B205" s="692"/>
      <c r="C205" s="628">
        <v>2.13</v>
      </c>
      <c r="D205" s="903">
        <f>('Emission Factors'!C1200*B205)*0.001</f>
        <v>0</v>
      </c>
      <c r="G205" s="689"/>
      <c r="H205" s="689"/>
    </row>
    <row r="206" spans="1:10" x14ac:dyDescent="0.35">
      <c r="A206" s="628" t="s">
        <v>774</v>
      </c>
      <c r="B206" s="692"/>
      <c r="C206" s="628">
        <v>1.49</v>
      </c>
      <c r="D206" s="903">
        <f>('Emission Factors'!C1201*B206)*0.001</f>
        <v>0</v>
      </c>
      <c r="G206" s="689"/>
      <c r="H206" s="689"/>
    </row>
    <row r="207" spans="1:10" x14ac:dyDescent="0.35">
      <c r="A207" s="628" t="s">
        <v>775</v>
      </c>
      <c r="B207" s="692"/>
      <c r="C207" s="628">
        <v>1.45</v>
      </c>
      <c r="D207" s="903">
        <f>('Emission Factors'!C1202*B207)*0.001</f>
        <v>0</v>
      </c>
      <c r="G207" s="689"/>
      <c r="H207" s="689"/>
    </row>
    <row r="208" spans="1:10" x14ac:dyDescent="0.35">
      <c r="A208" s="628" t="s">
        <v>776</v>
      </c>
      <c r="B208" s="692"/>
      <c r="C208" s="628">
        <v>1.1100000000000001</v>
      </c>
      <c r="D208" s="903">
        <f>('Emission Factors'!C1203*B208)*0.001</f>
        <v>0</v>
      </c>
      <c r="G208" s="689"/>
      <c r="H208" s="689"/>
    </row>
    <row r="209" spans="1:17" x14ac:dyDescent="0.35">
      <c r="A209" s="628" t="s">
        <v>777</v>
      </c>
      <c r="B209" s="692"/>
      <c r="C209" s="628">
        <v>1.64</v>
      </c>
      <c r="D209" s="903">
        <f>('Emission Factors'!C1204*B209)*0.001</f>
        <v>0</v>
      </c>
      <c r="G209" s="689"/>
      <c r="H209" s="689"/>
    </row>
    <row r="210" spans="1:17" x14ac:dyDescent="0.35">
      <c r="A210" s="628" t="s">
        <v>778</v>
      </c>
      <c r="B210" s="692"/>
      <c r="C210" s="628">
        <v>2.16</v>
      </c>
      <c r="D210" s="903">
        <f>('Emission Factors'!C1205*B210)*0.001</f>
        <v>0</v>
      </c>
      <c r="G210" s="689"/>
      <c r="H210" s="689"/>
    </row>
    <row r="211" spans="1:17" x14ac:dyDescent="0.35">
      <c r="A211" s="628" t="s">
        <v>779</v>
      </c>
      <c r="B211" s="692"/>
      <c r="C211" s="628">
        <v>1.32</v>
      </c>
      <c r="D211" s="903">
        <f>('Emission Factors'!C1206*B211)*0.001</f>
        <v>0</v>
      </c>
      <c r="G211" s="689"/>
      <c r="H211" s="689"/>
    </row>
    <row r="212" spans="1:17" ht="16" thickBot="1" x14ac:dyDescent="0.4">
      <c r="C212" s="936" t="s">
        <v>327</v>
      </c>
      <c r="D212" s="927">
        <f>SUM(D197:D211)</f>
        <v>0</v>
      </c>
      <c r="H212" s="689"/>
      <c r="I212" s="689"/>
    </row>
    <row r="214" spans="1:17" s="664" customFormat="1" ht="36" x14ac:dyDescent="0.8">
      <c r="A214" s="1479" t="s">
        <v>780</v>
      </c>
      <c r="B214" s="1480"/>
      <c r="C214" s="1480"/>
      <c r="D214" s="1480"/>
      <c r="E214" s="1480"/>
      <c r="F214" s="1480"/>
      <c r="G214" s="1480"/>
      <c r="H214" s="1480"/>
      <c r="I214" s="1480"/>
      <c r="J214" s="1480"/>
      <c r="K214" s="1480"/>
      <c r="L214" s="1480"/>
      <c r="M214" s="1480"/>
      <c r="N214" s="1480"/>
      <c r="O214" s="1480"/>
      <c r="P214" s="1480"/>
      <c r="Q214" s="1481"/>
    </row>
    <row r="216" spans="1:17" s="667" customFormat="1" ht="23.5" x14ac:dyDescent="0.55000000000000004">
      <c r="B216" s="649" t="s">
        <v>330</v>
      </c>
      <c r="C216" s="650"/>
    </row>
    <row r="217" spans="1:17" s="667" customFormat="1" ht="23.25" customHeight="1" thickBot="1" x14ac:dyDescent="0.6">
      <c r="A217" s="1541" t="s">
        <v>781</v>
      </c>
      <c r="B217" s="1542"/>
      <c r="C217" s="1542"/>
      <c r="D217" s="1542"/>
      <c r="E217" s="1542"/>
      <c r="F217" s="1542"/>
      <c r="G217" s="1542"/>
      <c r="H217" s="962"/>
      <c r="I217" s="962"/>
      <c r="J217" s="962"/>
      <c r="K217" s="962"/>
      <c r="L217" s="962"/>
      <c r="M217" s="962"/>
      <c r="N217" s="962"/>
      <c r="O217" s="962"/>
      <c r="P217" s="962"/>
      <c r="Q217" s="962"/>
    </row>
    <row r="218" spans="1:17" ht="31" x14ac:dyDescent="0.35">
      <c r="A218" s="672" t="s">
        <v>782</v>
      </c>
      <c r="B218" s="672" t="s">
        <v>783</v>
      </c>
      <c r="C218" s="672" t="s">
        <v>784</v>
      </c>
      <c r="D218" s="672" t="s">
        <v>785</v>
      </c>
      <c r="E218" s="672" t="s">
        <v>786</v>
      </c>
      <c r="F218" s="672" t="s">
        <v>787</v>
      </c>
      <c r="G218" s="911" t="s">
        <v>788</v>
      </c>
    </row>
    <row r="219" spans="1:17" x14ac:dyDescent="0.35">
      <c r="A219" s="692"/>
      <c r="B219" s="925"/>
      <c r="C219" s="925"/>
      <c r="D219" s="925"/>
      <c r="E219" s="963">
        <f>(B219*D219)/1000</f>
        <v>0</v>
      </c>
      <c r="F219" s="964">
        <f>E219*C219</f>
        <v>0</v>
      </c>
      <c r="G219" s="965">
        <f>'Emission Factors'!$D$359*F219*0.001</f>
        <v>0</v>
      </c>
    </row>
    <row r="220" spans="1:17" x14ac:dyDescent="0.35">
      <c r="A220" s="692"/>
      <c r="B220" s="925"/>
      <c r="C220" s="925"/>
      <c r="D220" s="925"/>
      <c r="E220" s="963">
        <f t="shared" ref="E220:E228" si="12">(B220*D220)/1000</f>
        <v>0</v>
      </c>
      <c r="F220" s="964">
        <f t="shared" ref="F220:F228" si="13">E220*C220</f>
        <v>0</v>
      </c>
      <c r="G220" s="965">
        <f>'Emission Factors'!$D$359*F220*0.001</f>
        <v>0</v>
      </c>
    </row>
    <row r="221" spans="1:17" x14ac:dyDescent="0.35">
      <c r="A221" s="692"/>
      <c r="B221" s="925"/>
      <c r="C221" s="925"/>
      <c r="D221" s="925"/>
      <c r="E221" s="963">
        <f t="shared" si="12"/>
        <v>0</v>
      </c>
      <c r="F221" s="964">
        <f t="shared" si="13"/>
        <v>0</v>
      </c>
      <c r="G221" s="965">
        <f>'Emission Factors'!$D$359*F221*0.001</f>
        <v>0</v>
      </c>
    </row>
    <row r="222" spans="1:17" x14ac:dyDescent="0.35">
      <c r="A222" s="692"/>
      <c r="B222" s="925"/>
      <c r="C222" s="925"/>
      <c r="D222" s="925"/>
      <c r="E222" s="963">
        <f t="shared" si="12"/>
        <v>0</v>
      </c>
      <c r="F222" s="964">
        <f t="shared" si="13"/>
        <v>0</v>
      </c>
      <c r="G222" s="965">
        <f>'Emission Factors'!$D$359*F222*0.001</f>
        <v>0</v>
      </c>
    </row>
    <row r="223" spans="1:17" x14ac:dyDescent="0.35">
      <c r="A223" s="692"/>
      <c r="B223" s="925"/>
      <c r="C223" s="925"/>
      <c r="D223" s="925"/>
      <c r="E223" s="963">
        <f t="shared" si="12"/>
        <v>0</v>
      </c>
      <c r="F223" s="964">
        <f t="shared" si="13"/>
        <v>0</v>
      </c>
      <c r="G223" s="965">
        <f>'Emission Factors'!$D$359*F223*0.001</f>
        <v>0</v>
      </c>
    </row>
    <row r="224" spans="1:17" x14ac:dyDescent="0.35">
      <c r="A224" s="692"/>
      <c r="B224" s="925"/>
      <c r="C224" s="925"/>
      <c r="D224" s="925"/>
      <c r="E224" s="963">
        <f t="shared" si="12"/>
        <v>0</v>
      </c>
      <c r="F224" s="964">
        <f t="shared" si="13"/>
        <v>0</v>
      </c>
      <c r="G224" s="965">
        <f>'Emission Factors'!$D$359*F224*0.001</f>
        <v>0</v>
      </c>
    </row>
    <row r="225" spans="1:17" x14ac:dyDescent="0.35">
      <c r="A225" s="692"/>
      <c r="B225" s="925"/>
      <c r="C225" s="925"/>
      <c r="D225" s="925"/>
      <c r="E225" s="963">
        <f t="shared" si="12"/>
        <v>0</v>
      </c>
      <c r="F225" s="964">
        <f t="shared" si="13"/>
        <v>0</v>
      </c>
      <c r="G225" s="965">
        <f>'Emission Factors'!$D$359*F225*0.001</f>
        <v>0</v>
      </c>
    </row>
    <row r="226" spans="1:17" x14ac:dyDescent="0.35">
      <c r="A226" s="692"/>
      <c r="B226" s="925"/>
      <c r="C226" s="925"/>
      <c r="D226" s="925"/>
      <c r="E226" s="963">
        <f t="shared" si="12"/>
        <v>0</v>
      </c>
      <c r="F226" s="964">
        <f t="shared" si="13"/>
        <v>0</v>
      </c>
      <c r="G226" s="965">
        <f>'Emission Factors'!$D$359*F226*0.001</f>
        <v>0</v>
      </c>
    </row>
    <row r="227" spans="1:17" x14ac:dyDescent="0.35">
      <c r="A227" s="692"/>
      <c r="B227" s="925"/>
      <c r="C227" s="925"/>
      <c r="D227" s="925"/>
      <c r="E227" s="963">
        <f t="shared" si="12"/>
        <v>0</v>
      </c>
      <c r="F227" s="964">
        <f t="shared" si="13"/>
        <v>0</v>
      </c>
      <c r="G227" s="965">
        <f>'Emission Factors'!$D$359*F227*0.001</f>
        <v>0</v>
      </c>
    </row>
    <row r="228" spans="1:17" x14ac:dyDescent="0.35">
      <c r="A228" s="692"/>
      <c r="B228" s="925"/>
      <c r="C228" s="925"/>
      <c r="D228" s="925"/>
      <c r="E228" s="963">
        <f t="shared" si="12"/>
        <v>0</v>
      </c>
      <c r="F228" s="964">
        <f t="shared" si="13"/>
        <v>0</v>
      </c>
      <c r="G228" s="965">
        <f>'Emission Factors'!$D$359*F228*0.001</f>
        <v>0</v>
      </c>
    </row>
    <row r="229" spans="1:17" s="667" customFormat="1" ht="23.25" customHeight="1" thickBot="1" x14ac:dyDescent="0.6">
      <c r="A229" s="1545" t="s">
        <v>789</v>
      </c>
      <c r="B229" s="1546"/>
      <c r="C229" s="1546"/>
      <c r="D229" s="1546"/>
      <c r="E229" s="1546"/>
      <c r="F229" s="1546"/>
      <c r="G229" s="1546"/>
      <c r="H229" s="966"/>
      <c r="I229" s="966"/>
      <c r="J229" s="966"/>
      <c r="K229" s="966"/>
      <c r="L229" s="966"/>
      <c r="M229" s="966"/>
      <c r="N229" s="966"/>
      <c r="O229" s="966"/>
      <c r="P229" s="966"/>
      <c r="Q229" s="966"/>
    </row>
    <row r="230" spans="1:17" ht="31" x14ac:dyDescent="0.35">
      <c r="A230" s="672" t="s">
        <v>782</v>
      </c>
      <c r="B230" s="672" t="s">
        <v>783</v>
      </c>
      <c r="C230" s="672" t="s">
        <v>784</v>
      </c>
      <c r="D230" s="672" t="s">
        <v>785</v>
      </c>
      <c r="E230" s="672" t="s">
        <v>786</v>
      </c>
      <c r="F230" s="672" t="s">
        <v>787</v>
      </c>
      <c r="G230" s="911" t="s">
        <v>788</v>
      </c>
    </row>
    <row r="231" spans="1:17" x14ac:dyDescent="0.35">
      <c r="A231" s="692"/>
      <c r="B231" s="925"/>
      <c r="C231" s="925"/>
      <c r="D231" s="925"/>
      <c r="E231" s="963">
        <f t="shared" ref="E231:E240" si="14">(B231*D231)/1000</f>
        <v>0</v>
      </c>
      <c r="F231" s="964">
        <f t="shared" ref="F231:F240" si="15">E231*C231</f>
        <v>0</v>
      </c>
      <c r="G231" s="965">
        <f>'Emission Factors'!$D$501*F231*0.001</f>
        <v>0</v>
      </c>
    </row>
    <row r="232" spans="1:17" x14ac:dyDescent="0.35">
      <c r="A232" s="692"/>
      <c r="B232" s="925"/>
      <c r="C232" s="925"/>
      <c r="D232" s="925"/>
      <c r="E232" s="963">
        <f t="shared" si="14"/>
        <v>0</v>
      </c>
      <c r="F232" s="964">
        <f t="shared" si="15"/>
        <v>0</v>
      </c>
      <c r="G232" s="965">
        <f>'Emission Factors'!$D$501*F232*0.001</f>
        <v>0</v>
      </c>
    </row>
    <row r="233" spans="1:17" x14ac:dyDescent="0.35">
      <c r="A233" s="692"/>
      <c r="B233" s="925"/>
      <c r="C233" s="925"/>
      <c r="D233" s="925"/>
      <c r="E233" s="963">
        <f t="shared" ref="E233:E235" si="16">(B233*D233)/1000</f>
        <v>0</v>
      </c>
      <c r="F233" s="964">
        <f t="shared" ref="F233:F235" si="17">E233*C233</f>
        <v>0</v>
      </c>
      <c r="G233" s="965">
        <f>'Emission Factors'!$D$501*F233*0.001</f>
        <v>0</v>
      </c>
    </row>
    <row r="234" spans="1:17" x14ac:dyDescent="0.35">
      <c r="A234" s="692"/>
      <c r="B234" s="925"/>
      <c r="C234" s="925"/>
      <c r="D234" s="925"/>
      <c r="E234" s="963">
        <f t="shared" si="16"/>
        <v>0</v>
      </c>
      <c r="F234" s="964">
        <f t="shared" si="17"/>
        <v>0</v>
      </c>
      <c r="G234" s="965">
        <f>'Emission Factors'!$D$501*F234*0.001</f>
        <v>0</v>
      </c>
    </row>
    <row r="235" spans="1:17" x14ac:dyDescent="0.35">
      <c r="A235" s="692"/>
      <c r="B235" s="925"/>
      <c r="C235" s="925"/>
      <c r="D235" s="925"/>
      <c r="E235" s="963">
        <f t="shared" si="16"/>
        <v>0</v>
      </c>
      <c r="F235" s="964">
        <f t="shared" si="17"/>
        <v>0</v>
      </c>
      <c r="G235" s="965">
        <f>'Emission Factors'!$D$501*F235*0.001</f>
        <v>0</v>
      </c>
    </row>
    <row r="236" spans="1:17" x14ac:dyDescent="0.35">
      <c r="A236" s="692"/>
      <c r="B236" s="925"/>
      <c r="C236" s="925"/>
      <c r="D236" s="925"/>
      <c r="E236" s="963">
        <f t="shared" ref="E236" si="18">(B236*D236)/1000</f>
        <v>0</v>
      </c>
      <c r="F236" s="964">
        <f t="shared" ref="F236" si="19">E236*C236</f>
        <v>0</v>
      </c>
      <c r="G236" s="965">
        <f>'Emission Factors'!$D$501*F236*0.001</f>
        <v>0</v>
      </c>
    </row>
    <row r="237" spans="1:17" x14ac:dyDescent="0.35">
      <c r="A237" s="692"/>
      <c r="B237" s="925"/>
      <c r="C237" s="925"/>
      <c r="D237" s="925"/>
      <c r="E237" s="963">
        <f t="shared" si="14"/>
        <v>0</v>
      </c>
      <c r="F237" s="964">
        <f t="shared" si="15"/>
        <v>0</v>
      </c>
      <c r="G237" s="965">
        <f>'Emission Factors'!$D$501*F237*0.001</f>
        <v>0</v>
      </c>
    </row>
    <row r="238" spans="1:17" x14ac:dyDescent="0.35">
      <c r="A238" s="692"/>
      <c r="B238" s="925"/>
      <c r="C238" s="925"/>
      <c r="D238" s="925"/>
      <c r="E238" s="963">
        <f t="shared" si="14"/>
        <v>0</v>
      </c>
      <c r="F238" s="964">
        <f t="shared" si="15"/>
        <v>0</v>
      </c>
      <c r="G238" s="965">
        <f>'Emission Factors'!$D$501*F238*0.001</f>
        <v>0</v>
      </c>
    </row>
    <row r="239" spans="1:17" x14ac:dyDescent="0.35">
      <c r="A239" s="692"/>
      <c r="B239" s="925"/>
      <c r="C239" s="925"/>
      <c r="D239" s="925"/>
      <c r="E239" s="963">
        <f t="shared" si="14"/>
        <v>0</v>
      </c>
      <c r="F239" s="964">
        <f t="shared" si="15"/>
        <v>0</v>
      </c>
      <c r="G239" s="965">
        <f>'Emission Factors'!$D$501*F239*0.001</f>
        <v>0</v>
      </c>
    </row>
    <row r="240" spans="1:17" x14ac:dyDescent="0.35">
      <c r="A240" s="692"/>
      <c r="B240" s="925"/>
      <c r="C240" s="925"/>
      <c r="D240" s="925"/>
      <c r="E240" s="963">
        <f t="shared" si="14"/>
        <v>0</v>
      </c>
      <c r="F240" s="964">
        <f t="shared" si="15"/>
        <v>0</v>
      </c>
      <c r="G240" s="965">
        <f>'Emission Factors'!$D$501*F240*0.001</f>
        <v>0</v>
      </c>
    </row>
    <row r="241" spans="1:17" s="667" customFormat="1" ht="23.25" customHeight="1" thickBot="1" x14ac:dyDescent="0.6">
      <c r="A241" s="1545" t="s">
        <v>790</v>
      </c>
      <c r="B241" s="1546"/>
      <c r="C241" s="1546"/>
      <c r="D241" s="1546"/>
      <c r="E241" s="1546"/>
      <c r="F241" s="1546"/>
      <c r="G241" s="1546"/>
      <c r="H241" s="966"/>
      <c r="I241" s="966"/>
      <c r="J241" s="966"/>
      <c r="K241" s="966"/>
      <c r="L241" s="966"/>
      <c r="M241" s="966"/>
      <c r="N241" s="966"/>
      <c r="O241" s="966"/>
      <c r="P241" s="966"/>
      <c r="Q241" s="966"/>
    </row>
    <row r="242" spans="1:17" ht="31" x14ac:dyDescent="0.35">
      <c r="A242" s="837" t="s">
        <v>782</v>
      </c>
      <c r="B242" s="837" t="s">
        <v>783</v>
      </c>
      <c r="C242" s="837" t="s">
        <v>784</v>
      </c>
      <c r="D242" s="837" t="s">
        <v>785</v>
      </c>
      <c r="E242" s="837" t="s">
        <v>786</v>
      </c>
      <c r="F242" s="672" t="s">
        <v>787</v>
      </c>
      <c r="G242" s="911" t="s">
        <v>788</v>
      </c>
    </row>
    <row r="243" spans="1:17" x14ac:dyDescent="0.35">
      <c r="A243" s="692"/>
      <c r="B243" s="925"/>
      <c r="C243" s="925"/>
      <c r="D243" s="925"/>
      <c r="E243" s="963">
        <f t="shared" ref="E243:E247" si="20">(B243*D243)/1000</f>
        <v>0</v>
      </c>
      <c r="F243" s="964">
        <f t="shared" ref="F243:F247" si="21">E243*C243</f>
        <v>0</v>
      </c>
      <c r="G243" s="965">
        <f>((F243*0.5*'Emission Factors'!$D$359)+(F243*0.5*'Emission Factors'!$D$501))*0.001</f>
        <v>0</v>
      </c>
    </row>
    <row r="244" spans="1:17" x14ac:dyDescent="0.35">
      <c r="A244" s="692"/>
      <c r="B244" s="925"/>
      <c r="C244" s="925"/>
      <c r="D244" s="925"/>
      <c r="E244" s="963">
        <f t="shared" si="20"/>
        <v>0</v>
      </c>
      <c r="F244" s="964">
        <f t="shared" si="21"/>
        <v>0</v>
      </c>
      <c r="G244" s="965">
        <f>((F244*0.5*'Emission Factors'!$D$359)+(F244*0.5*'Emission Factors'!$D$501))*0.001</f>
        <v>0</v>
      </c>
    </row>
    <row r="245" spans="1:17" x14ac:dyDescent="0.35">
      <c r="A245" s="692"/>
      <c r="B245" s="925"/>
      <c r="C245" s="925"/>
      <c r="D245" s="925"/>
      <c r="E245" s="963">
        <f t="shared" si="20"/>
        <v>0</v>
      </c>
      <c r="F245" s="964">
        <f t="shared" si="21"/>
        <v>0</v>
      </c>
      <c r="G245" s="965">
        <f>((F245*0.5*'Emission Factors'!$D$359)+(F245*0.5*'Emission Factors'!$D$501))*0.001</f>
        <v>0</v>
      </c>
    </row>
    <row r="246" spans="1:17" x14ac:dyDescent="0.35">
      <c r="A246" s="692"/>
      <c r="B246" s="925"/>
      <c r="C246" s="925"/>
      <c r="D246" s="925"/>
      <c r="E246" s="963">
        <f t="shared" si="20"/>
        <v>0</v>
      </c>
      <c r="F246" s="964">
        <f t="shared" si="21"/>
        <v>0</v>
      </c>
      <c r="G246" s="965">
        <f>((F246*0.5*'Emission Factors'!$D$359)+(F246*0.5*'Emission Factors'!$D$501))*0.001</f>
        <v>0</v>
      </c>
    </row>
    <row r="247" spans="1:17" x14ac:dyDescent="0.35">
      <c r="A247" s="692"/>
      <c r="B247" s="925"/>
      <c r="C247" s="925"/>
      <c r="D247" s="925"/>
      <c r="E247" s="963">
        <f t="shared" si="20"/>
        <v>0</v>
      </c>
      <c r="F247" s="964">
        <f t="shared" si="21"/>
        <v>0</v>
      </c>
      <c r="G247" s="965">
        <f>((F247*0.5*'Emission Factors'!$D$359)+(F247*0.5*'Emission Factors'!$D$501))*0.001</f>
        <v>0</v>
      </c>
    </row>
    <row r="248" spans="1:17" x14ac:dyDescent="0.35">
      <c r="A248" s="692"/>
      <c r="B248" s="925"/>
      <c r="C248" s="925"/>
      <c r="D248" s="925"/>
      <c r="E248" s="963">
        <f t="shared" ref="E248:E252" si="22">(B248*D248)/1000</f>
        <v>0</v>
      </c>
      <c r="F248" s="964">
        <f t="shared" ref="F248:F252" si="23">E248*C248</f>
        <v>0</v>
      </c>
      <c r="G248" s="965">
        <f>((F248*0.5*'Emission Factors'!$D$359)+(F248*0.5*'Emission Factors'!$D$501))*0.001</f>
        <v>0</v>
      </c>
    </row>
    <row r="249" spans="1:17" x14ac:dyDescent="0.35">
      <c r="A249" s="692"/>
      <c r="B249" s="925"/>
      <c r="C249" s="925"/>
      <c r="D249" s="925"/>
      <c r="E249" s="963">
        <f t="shared" si="22"/>
        <v>0</v>
      </c>
      <c r="F249" s="964">
        <f t="shared" si="23"/>
        <v>0</v>
      </c>
      <c r="G249" s="965">
        <f>((F249*0.5*'Emission Factors'!$D$359)+(F249*0.5*'Emission Factors'!$D$501))*0.001</f>
        <v>0</v>
      </c>
    </row>
    <row r="250" spans="1:17" x14ac:dyDescent="0.35">
      <c r="A250" s="692"/>
      <c r="B250" s="925"/>
      <c r="C250" s="925"/>
      <c r="D250" s="925"/>
      <c r="E250" s="963">
        <f t="shared" si="22"/>
        <v>0</v>
      </c>
      <c r="F250" s="964">
        <f t="shared" si="23"/>
        <v>0</v>
      </c>
      <c r="G250" s="965">
        <f>((F250*0.5*'Emission Factors'!$D$359)+(F250*0.5*'Emission Factors'!$D$501))*0.001</f>
        <v>0</v>
      </c>
    </row>
    <row r="251" spans="1:17" x14ac:dyDescent="0.35">
      <c r="A251" s="692"/>
      <c r="B251" s="925"/>
      <c r="C251" s="925"/>
      <c r="D251" s="925"/>
      <c r="E251" s="963">
        <f t="shared" si="22"/>
        <v>0</v>
      </c>
      <c r="F251" s="964">
        <f t="shared" si="23"/>
        <v>0</v>
      </c>
      <c r="G251" s="965">
        <f>((F251*0.5*'Emission Factors'!$D$359)+(F251*0.5*'Emission Factors'!$D$501))*0.001</f>
        <v>0</v>
      </c>
    </row>
    <row r="252" spans="1:17" x14ac:dyDescent="0.35">
      <c r="A252" s="692"/>
      <c r="B252" s="925"/>
      <c r="C252" s="925"/>
      <c r="D252" s="925"/>
      <c r="E252" s="963">
        <f t="shared" si="22"/>
        <v>0</v>
      </c>
      <c r="F252" s="964">
        <f t="shared" si="23"/>
        <v>0</v>
      </c>
      <c r="G252" s="965">
        <f>((F252*0.5*'Emission Factors'!$D$359)+(F252*0.5*'Emission Factors'!$D$501))*0.001</f>
        <v>0</v>
      </c>
    </row>
    <row r="253" spans="1:17" s="667" customFormat="1" ht="24" customHeight="1" thickBot="1" x14ac:dyDescent="0.6">
      <c r="A253" s="1545" t="s">
        <v>791</v>
      </c>
      <c r="B253" s="1546"/>
      <c r="C253" s="1546"/>
      <c r="D253" s="1546"/>
      <c r="E253" s="1546"/>
      <c r="F253" s="1546"/>
      <c r="G253" s="1546"/>
      <c r="H253" s="962"/>
      <c r="I253" s="962"/>
      <c r="J253" s="962"/>
      <c r="K253" s="962"/>
      <c r="L253" s="962"/>
      <c r="M253" s="962"/>
      <c r="N253" s="962"/>
      <c r="O253" s="962"/>
      <c r="P253" s="962"/>
      <c r="Q253" s="962"/>
    </row>
    <row r="254" spans="1:17" ht="31" x14ac:dyDescent="0.35">
      <c r="A254" s="837" t="s">
        <v>782</v>
      </c>
      <c r="B254" s="837" t="s">
        <v>783</v>
      </c>
      <c r="C254" s="837" t="s">
        <v>784</v>
      </c>
      <c r="D254" s="837" t="s">
        <v>785</v>
      </c>
      <c r="E254" s="837" t="s">
        <v>786</v>
      </c>
      <c r="F254" s="672" t="s">
        <v>787</v>
      </c>
      <c r="G254" s="911" t="s">
        <v>788</v>
      </c>
    </row>
    <row r="255" spans="1:17" x14ac:dyDescent="0.35">
      <c r="A255" s="692"/>
      <c r="B255" s="925"/>
      <c r="C255" s="925"/>
      <c r="D255" s="925"/>
      <c r="E255" s="963">
        <f t="shared" ref="E255:E259" si="24">(B255*D255)/1000</f>
        <v>0</v>
      </c>
      <c r="F255" s="964">
        <f t="shared" ref="F255:F259" si="25">E255*C255</f>
        <v>0</v>
      </c>
      <c r="G255" s="965">
        <f>((F255*0.75*'Emission Factors'!$D$359)+(F255*0.25*'Emission Factors'!$D$501))*0.001</f>
        <v>0</v>
      </c>
    </row>
    <row r="256" spans="1:17" x14ac:dyDescent="0.35">
      <c r="A256" s="692"/>
      <c r="B256" s="925"/>
      <c r="C256" s="925"/>
      <c r="D256" s="925"/>
      <c r="E256" s="963">
        <f t="shared" si="24"/>
        <v>0</v>
      </c>
      <c r="F256" s="964">
        <f t="shared" si="25"/>
        <v>0</v>
      </c>
      <c r="G256" s="965">
        <f>((F256*0.75*'Emission Factors'!$D$359)+(F256*0.25*'Emission Factors'!$D$501))*0.001</f>
        <v>0</v>
      </c>
    </row>
    <row r="257" spans="1:17" x14ac:dyDescent="0.35">
      <c r="A257" s="692"/>
      <c r="B257" s="925"/>
      <c r="C257" s="925"/>
      <c r="D257" s="925"/>
      <c r="E257" s="963">
        <f t="shared" si="24"/>
        <v>0</v>
      </c>
      <c r="F257" s="964">
        <f t="shared" si="25"/>
        <v>0</v>
      </c>
      <c r="G257" s="965">
        <f>((F257*0.75*'Emission Factors'!$D$359)+(F257*0.25*'Emission Factors'!$D$501))*0.001</f>
        <v>0</v>
      </c>
    </row>
    <row r="258" spans="1:17" x14ac:dyDescent="0.35">
      <c r="A258" s="692"/>
      <c r="B258" s="925"/>
      <c r="C258" s="925"/>
      <c r="D258" s="925"/>
      <c r="E258" s="963">
        <f t="shared" si="24"/>
        <v>0</v>
      </c>
      <c r="F258" s="964">
        <f t="shared" si="25"/>
        <v>0</v>
      </c>
      <c r="G258" s="965">
        <f>((F258*0.75*'Emission Factors'!$D$359)+(F258*0.25*'Emission Factors'!$D$501))*0.001</f>
        <v>0</v>
      </c>
    </row>
    <row r="259" spans="1:17" x14ac:dyDescent="0.35">
      <c r="A259" s="692"/>
      <c r="B259" s="925"/>
      <c r="C259" s="925"/>
      <c r="D259" s="925"/>
      <c r="E259" s="963">
        <f t="shared" si="24"/>
        <v>0</v>
      </c>
      <c r="F259" s="964">
        <f t="shared" si="25"/>
        <v>0</v>
      </c>
      <c r="G259" s="965">
        <f>((F259*0.75*'Emission Factors'!$D$359)+(F259*0.25*'Emission Factors'!$D$501))*0.001</f>
        <v>0</v>
      </c>
    </row>
    <row r="260" spans="1:17" x14ac:dyDescent="0.35">
      <c r="A260" s="692"/>
      <c r="B260" s="925"/>
      <c r="C260" s="925"/>
      <c r="D260" s="925"/>
      <c r="E260" s="963">
        <f t="shared" ref="E260:E264" si="26">(B260*D260)/1000</f>
        <v>0</v>
      </c>
      <c r="F260" s="964">
        <f t="shared" ref="F260:F264" si="27">E260*C260</f>
        <v>0</v>
      </c>
      <c r="G260" s="965">
        <f>((F260*0.75*'Emission Factors'!$D$359)+(F260*0.25*'Emission Factors'!$D$501))*0.001</f>
        <v>0</v>
      </c>
    </row>
    <row r="261" spans="1:17" x14ac:dyDescent="0.35">
      <c r="A261" s="692"/>
      <c r="B261" s="925"/>
      <c r="C261" s="925"/>
      <c r="D261" s="925"/>
      <c r="E261" s="963">
        <f t="shared" si="26"/>
        <v>0</v>
      </c>
      <c r="F261" s="964">
        <f t="shared" si="27"/>
        <v>0</v>
      </c>
      <c r="G261" s="965">
        <f>((F261*0.75*'Emission Factors'!$D$359)+(F261*0.25*'Emission Factors'!$D$501))*0.001</f>
        <v>0</v>
      </c>
    </row>
    <row r="262" spans="1:17" x14ac:dyDescent="0.35">
      <c r="A262" s="692"/>
      <c r="B262" s="925"/>
      <c r="C262" s="925"/>
      <c r="D262" s="925"/>
      <c r="E262" s="963">
        <f t="shared" si="26"/>
        <v>0</v>
      </c>
      <c r="F262" s="964">
        <f t="shared" si="27"/>
        <v>0</v>
      </c>
      <c r="G262" s="965">
        <f>((F262*0.75*'Emission Factors'!$D$359)+(F262*0.25*'Emission Factors'!$D$501))*0.001</f>
        <v>0</v>
      </c>
    </row>
    <row r="263" spans="1:17" x14ac:dyDescent="0.35">
      <c r="A263" s="692"/>
      <c r="B263" s="925"/>
      <c r="C263" s="925"/>
      <c r="D263" s="925"/>
      <c r="E263" s="963">
        <f t="shared" si="26"/>
        <v>0</v>
      </c>
      <c r="F263" s="964">
        <f t="shared" si="27"/>
        <v>0</v>
      </c>
      <c r="G263" s="965">
        <f>((F263*0.75*'Emission Factors'!$D$359)+(F263*0.25*'Emission Factors'!$D$501))*0.001</f>
        <v>0</v>
      </c>
    </row>
    <row r="264" spans="1:17" x14ac:dyDescent="0.35">
      <c r="A264" s="692"/>
      <c r="B264" s="925"/>
      <c r="C264" s="925"/>
      <c r="D264" s="925"/>
      <c r="E264" s="963">
        <f t="shared" si="26"/>
        <v>0</v>
      </c>
      <c r="F264" s="964">
        <f t="shared" si="27"/>
        <v>0</v>
      </c>
      <c r="G264" s="965">
        <f>((F264*0.75*'Emission Factors'!$D$359)+(F264*0.25*'Emission Factors'!$D$501))*0.001</f>
        <v>0</v>
      </c>
    </row>
    <row r="265" spans="1:17" s="667" customFormat="1" ht="24" customHeight="1" thickBot="1" x14ac:dyDescent="0.6">
      <c r="A265" s="1545" t="s">
        <v>792</v>
      </c>
      <c r="B265" s="1546"/>
      <c r="C265" s="1546"/>
      <c r="D265" s="1546"/>
      <c r="E265" s="1546"/>
      <c r="F265" s="1546"/>
      <c r="G265" s="1546"/>
      <c r="H265" s="962"/>
      <c r="I265" s="962"/>
      <c r="J265" s="962"/>
      <c r="K265" s="962"/>
      <c r="L265" s="962"/>
      <c r="M265" s="962"/>
      <c r="N265" s="962"/>
      <c r="O265" s="962"/>
      <c r="P265" s="962"/>
      <c r="Q265" s="962"/>
    </row>
    <row r="266" spans="1:17" ht="31" x14ac:dyDescent="0.35">
      <c r="A266" s="837" t="s">
        <v>782</v>
      </c>
      <c r="B266" s="837" t="s">
        <v>783</v>
      </c>
      <c r="C266" s="837" t="s">
        <v>784</v>
      </c>
      <c r="D266" s="837" t="s">
        <v>785</v>
      </c>
      <c r="E266" s="837" t="s">
        <v>786</v>
      </c>
      <c r="F266" s="672" t="s">
        <v>787</v>
      </c>
      <c r="G266" s="911" t="s">
        <v>788</v>
      </c>
    </row>
    <row r="267" spans="1:17" x14ac:dyDescent="0.35">
      <c r="A267" s="692"/>
      <c r="B267" s="925"/>
      <c r="C267" s="925"/>
      <c r="D267" s="925"/>
      <c r="E267" s="963">
        <f t="shared" ref="E267:E271" si="28">(B267*D267)/1000</f>
        <v>0</v>
      </c>
      <c r="F267" s="964">
        <f t="shared" ref="F267:F271" si="29">E267*C267</f>
        <v>0</v>
      </c>
      <c r="G267" s="965">
        <f>((F267*0.25*'Emission Factors'!$D$359)+(F267*0.75*'Emission Factors'!$D$465))*0.001</f>
        <v>0</v>
      </c>
    </row>
    <row r="268" spans="1:17" x14ac:dyDescent="0.35">
      <c r="A268" s="692"/>
      <c r="B268" s="925"/>
      <c r="C268" s="925"/>
      <c r="D268" s="925"/>
      <c r="E268" s="963">
        <f t="shared" si="28"/>
        <v>0</v>
      </c>
      <c r="F268" s="964">
        <f t="shared" si="29"/>
        <v>0</v>
      </c>
      <c r="G268" s="965">
        <f>((F268*0.25*'Emission Factors'!$D$359)+(F268*0.75*'Emission Factors'!$D$465))*0.001</f>
        <v>0</v>
      </c>
    </row>
    <row r="269" spans="1:17" x14ac:dyDescent="0.35">
      <c r="A269" s="692"/>
      <c r="B269" s="925"/>
      <c r="C269" s="925"/>
      <c r="D269" s="925"/>
      <c r="E269" s="963">
        <f t="shared" si="28"/>
        <v>0</v>
      </c>
      <c r="F269" s="964">
        <f t="shared" si="29"/>
        <v>0</v>
      </c>
      <c r="G269" s="965">
        <f>((F269*0.25*'Emission Factors'!$D$359)+(F269*0.75*'Emission Factors'!$D$465))*0.001</f>
        <v>0</v>
      </c>
    </row>
    <row r="270" spans="1:17" x14ac:dyDescent="0.35">
      <c r="A270" s="692"/>
      <c r="B270" s="925"/>
      <c r="C270" s="925"/>
      <c r="D270" s="925"/>
      <c r="E270" s="963">
        <f t="shared" si="28"/>
        <v>0</v>
      </c>
      <c r="F270" s="964">
        <f t="shared" si="29"/>
        <v>0</v>
      </c>
      <c r="G270" s="965">
        <f>((F270*0.25*'Emission Factors'!$D$359)+(F270*0.75*'Emission Factors'!$D$465))*0.001</f>
        <v>0</v>
      </c>
    </row>
    <row r="271" spans="1:17" x14ac:dyDescent="0.35">
      <c r="A271" s="692"/>
      <c r="B271" s="925"/>
      <c r="C271" s="925"/>
      <c r="D271" s="925"/>
      <c r="E271" s="963">
        <f t="shared" si="28"/>
        <v>0</v>
      </c>
      <c r="F271" s="964">
        <f t="shared" si="29"/>
        <v>0</v>
      </c>
      <c r="G271" s="965">
        <f>((F271*0.25*'Emission Factors'!$D$359)+(F271*0.75*'Emission Factors'!$D$465))*0.001</f>
        <v>0</v>
      </c>
    </row>
    <row r="272" spans="1:17" x14ac:dyDescent="0.35">
      <c r="A272" s="692"/>
      <c r="B272" s="925"/>
      <c r="C272" s="925"/>
      <c r="D272" s="925"/>
      <c r="E272" s="963">
        <f t="shared" ref="E272:E276" si="30">(B272*D272)/1000</f>
        <v>0</v>
      </c>
      <c r="F272" s="964">
        <f t="shared" ref="F272:F276" si="31">E272*C272</f>
        <v>0</v>
      </c>
      <c r="G272" s="965">
        <f>((F272*0.25*'Emission Factors'!$D$359)+(F272*0.75*'Emission Factors'!$D$465))*0.001</f>
        <v>0</v>
      </c>
    </row>
    <row r="273" spans="1:17" x14ac:dyDescent="0.35">
      <c r="A273" s="692"/>
      <c r="B273" s="925"/>
      <c r="C273" s="925"/>
      <c r="D273" s="925"/>
      <c r="E273" s="963">
        <f t="shared" si="30"/>
        <v>0</v>
      </c>
      <c r="F273" s="964">
        <f t="shared" si="31"/>
        <v>0</v>
      </c>
      <c r="G273" s="965">
        <f>((F273*0.25*'Emission Factors'!$D$359)+(F273*0.75*'Emission Factors'!$D$465))*0.001</f>
        <v>0</v>
      </c>
    </row>
    <row r="274" spans="1:17" x14ac:dyDescent="0.35">
      <c r="A274" s="692"/>
      <c r="B274" s="925"/>
      <c r="C274" s="925"/>
      <c r="D274" s="925"/>
      <c r="E274" s="963">
        <f t="shared" si="30"/>
        <v>0</v>
      </c>
      <c r="F274" s="964">
        <f t="shared" si="31"/>
        <v>0</v>
      </c>
      <c r="G274" s="965">
        <f>((F274*0.25*'Emission Factors'!$D$359)+(F274*0.75*'Emission Factors'!$D$465))*0.001</f>
        <v>0</v>
      </c>
    </row>
    <row r="275" spans="1:17" x14ac:dyDescent="0.35">
      <c r="A275" s="692"/>
      <c r="B275" s="925"/>
      <c r="C275" s="925"/>
      <c r="D275" s="925"/>
      <c r="E275" s="963">
        <f t="shared" si="30"/>
        <v>0</v>
      </c>
      <c r="F275" s="964">
        <f t="shared" si="31"/>
        <v>0</v>
      </c>
      <c r="G275" s="965">
        <f>((F275*0.25*'Emission Factors'!$D$359)+(F275*0.75*'Emission Factors'!$D$465))*0.001</f>
        <v>0</v>
      </c>
    </row>
    <row r="276" spans="1:17" x14ac:dyDescent="0.35">
      <c r="A276" s="692"/>
      <c r="B276" s="925"/>
      <c r="C276" s="925"/>
      <c r="D276" s="925"/>
      <c r="E276" s="963">
        <f t="shared" si="30"/>
        <v>0</v>
      </c>
      <c r="F276" s="964">
        <f t="shared" si="31"/>
        <v>0</v>
      </c>
      <c r="G276" s="965">
        <f>((F276*0.25*'Emission Factors'!$D$359)+(F276*0.75*'Emission Factors'!$D$465))*0.001</f>
        <v>0</v>
      </c>
    </row>
    <row r="277" spans="1:17" s="667" customFormat="1" ht="23.25" customHeight="1" thickBot="1" x14ac:dyDescent="0.6">
      <c r="A277" s="1545" t="s">
        <v>793</v>
      </c>
      <c r="B277" s="1546"/>
      <c r="C277" s="1546"/>
      <c r="D277" s="1546"/>
      <c r="E277" s="1546"/>
      <c r="F277" s="1546"/>
      <c r="G277" s="1546"/>
      <c r="H277" s="962"/>
      <c r="I277" s="962"/>
      <c r="J277" s="962"/>
      <c r="K277" s="962"/>
      <c r="L277" s="962"/>
      <c r="M277" s="962"/>
      <c r="N277" s="962"/>
      <c r="O277" s="962"/>
      <c r="P277" s="962"/>
      <c r="Q277" s="962"/>
    </row>
    <row r="278" spans="1:17" ht="31" x14ac:dyDescent="0.35">
      <c r="A278" s="837" t="s">
        <v>782</v>
      </c>
      <c r="B278" s="837" t="s">
        <v>783</v>
      </c>
      <c r="C278" s="837" t="s">
        <v>784</v>
      </c>
      <c r="D278" s="837" t="s">
        <v>785</v>
      </c>
      <c r="E278" s="837" t="s">
        <v>786</v>
      </c>
      <c r="F278" s="672" t="s">
        <v>787</v>
      </c>
      <c r="G278" s="911" t="s">
        <v>788</v>
      </c>
    </row>
    <row r="279" spans="1:17" x14ac:dyDescent="0.35">
      <c r="A279" s="692"/>
      <c r="B279" s="925"/>
      <c r="C279" s="925"/>
      <c r="D279" s="925"/>
      <c r="E279" s="963">
        <f t="shared" ref="E279:E283" si="32">(B279*D279)/1000</f>
        <v>0</v>
      </c>
      <c r="F279" s="964">
        <f t="shared" ref="F279:F283" si="33">E279*C279</f>
        <v>0</v>
      </c>
      <c r="G279" s="965">
        <f>((F279*0.25*'Emission Factors'!$D$501)+(F279*0.75*'Emission Factors'!$D$465))*0.001</f>
        <v>0</v>
      </c>
    </row>
    <row r="280" spans="1:17" x14ac:dyDescent="0.35">
      <c r="A280" s="692"/>
      <c r="B280" s="925"/>
      <c r="C280" s="925"/>
      <c r="D280" s="925"/>
      <c r="E280" s="963">
        <f t="shared" si="32"/>
        <v>0</v>
      </c>
      <c r="F280" s="964">
        <f t="shared" si="33"/>
        <v>0</v>
      </c>
      <c r="G280" s="965">
        <f>((F280*0.25*'Emission Factors'!$D$501)+(F280*0.75*'Emission Factors'!$D$465))*0.001</f>
        <v>0</v>
      </c>
    </row>
    <row r="281" spans="1:17" x14ac:dyDescent="0.35">
      <c r="A281" s="692"/>
      <c r="B281" s="925"/>
      <c r="C281" s="925"/>
      <c r="D281" s="925"/>
      <c r="E281" s="963">
        <f t="shared" si="32"/>
        <v>0</v>
      </c>
      <c r="F281" s="964">
        <f t="shared" si="33"/>
        <v>0</v>
      </c>
      <c r="G281" s="965">
        <f>((F281*0.25*'Emission Factors'!$D$501)+(F281*0.75*'Emission Factors'!$D$465))*0.001</f>
        <v>0</v>
      </c>
    </row>
    <row r="282" spans="1:17" x14ac:dyDescent="0.35">
      <c r="A282" s="692"/>
      <c r="B282" s="925"/>
      <c r="C282" s="925"/>
      <c r="D282" s="925"/>
      <c r="E282" s="963">
        <f t="shared" si="32"/>
        <v>0</v>
      </c>
      <c r="F282" s="964">
        <f t="shared" si="33"/>
        <v>0</v>
      </c>
      <c r="G282" s="965">
        <f>((F282*0.25*'Emission Factors'!$D$501)+(F282*0.75*'Emission Factors'!$D$465))*0.001</f>
        <v>0</v>
      </c>
    </row>
    <row r="283" spans="1:17" x14ac:dyDescent="0.35">
      <c r="A283" s="692"/>
      <c r="B283" s="925"/>
      <c r="C283" s="925"/>
      <c r="D283" s="925"/>
      <c r="E283" s="963">
        <f t="shared" si="32"/>
        <v>0</v>
      </c>
      <c r="F283" s="964">
        <f t="shared" si="33"/>
        <v>0</v>
      </c>
      <c r="G283" s="965">
        <f>((F283*0.25*'Emission Factors'!$D$501)+(F283*0.75*'Emission Factors'!$D$465))*0.001</f>
        <v>0</v>
      </c>
    </row>
    <row r="284" spans="1:17" x14ac:dyDescent="0.35">
      <c r="A284" s="692"/>
      <c r="B284" s="925"/>
      <c r="C284" s="925"/>
      <c r="D284" s="925"/>
      <c r="E284" s="963">
        <f t="shared" ref="E284:E288" si="34">(B284*D284)/1000</f>
        <v>0</v>
      </c>
      <c r="F284" s="964">
        <f t="shared" ref="F284:F288" si="35">E284*C284</f>
        <v>0</v>
      </c>
      <c r="G284" s="965">
        <f>((F284*0.25*'Emission Factors'!$D$501)+(F284*0.75*'Emission Factors'!$D$465))*0.001</f>
        <v>0</v>
      </c>
    </row>
    <row r="285" spans="1:17" x14ac:dyDescent="0.35">
      <c r="A285" s="692"/>
      <c r="B285" s="925"/>
      <c r="C285" s="925"/>
      <c r="D285" s="925"/>
      <c r="E285" s="963">
        <f t="shared" si="34"/>
        <v>0</v>
      </c>
      <c r="F285" s="964">
        <f t="shared" si="35"/>
        <v>0</v>
      </c>
      <c r="G285" s="965">
        <f>((F285*0.25*'Emission Factors'!$D$501)+(F285*0.75*'Emission Factors'!$D$465))*0.001</f>
        <v>0</v>
      </c>
    </row>
    <row r="286" spans="1:17" x14ac:dyDescent="0.35">
      <c r="A286" s="692"/>
      <c r="B286" s="925"/>
      <c r="C286" s="925"/>
      <c r="D286" s="925"/>
      <c r="E286" s="963">
        <f t="shared" si="34"/>
        <v>0</v>
      </c>
      <c r="F286" s="964">
        <f t="shared" si="35"/>
        <v>0</v>
      </c>
      <c r="G286" s="965">
        <f>((F286*0.25*'Emission Factors'!$D$501)+(F286*0.75*'Emission Factors'!$D$465))*0.001</f>
        <v>0</v>
      </c>
    </row>
    <row r="287" spans="1:17" x14ac:dyDescent="0.35">
      <c r="A287" s="692"/>
      <c r="B287" s="925"/>
      <c r="C287" s="925"/>
      <c r="D287" s="925"/>
      <c r="E287" s="963">
        <f t="shared" si="34"/>
        <v>0</v>
      </c>
      <c r="F287" s="964">
        <f t="shared" si="35"/>
        <v>0</v>
      </c>
      <c r="G287" s="965">
        <f>((F287*0.25*'Emission Factors'!$D$501)+(F287*0.75*'Emission Factors'!$D$465))*0.001</f>
        <v>0</v>
      </c>
    </row>
    <row r="288" spans="1:17" x14ac:dyDescent="0.35">
      <c r="A288" s="692"/>
      <c r="B288" s="925"/>
      <c r="C288" s="925"/>
      <c r="D288" s="925"/>
      <c r="E288" s="963">
        <f t="shared" si="34"/>
        <v>0</v>
      </c>
      <c r="F288" s="964">
        <f t="shared" si="35"/>
        <v>0</v>
      </c>
      <c r="G288" s="965">
        <f>((F288*0.25*'Emission Factors'!$D$501)+(F288*0.75*'Emission Factors'!$D$465))*0.001</f>
        <v>0</v>
      </c>
    </row>
    <row r="289" spans="1:17" x14ac:dyDescent="0.35">
      <c r="A289" s="644" t="s">
        <v>794</v>
      </c>
      <c r="B289" s="634"/>
      <c r="C289" s="634"/>
      <c r="D289" s="634"/>
      <c r="E289" s="634" t="s">
        <v>309</v>
      </c>
      <c r="F289" s="634"/>
      <c r="G289" s="634"/>
      <c r="H289" s="634"/>
      <c r="I289" s="634"/>
      <c r="J289" s="731"/>
      <c r="K289" s="731"/>
    </row>
    <row r="290" spans="1:17" x14ac:dyDescent="0.35">
      <c r="A290" s="644"/>
      <c r="B290" s="634"/>
      <c r="C290" s="634"/>
      <c r="D290" s="634"/>
      <c r="E290" s="634"/>
      <c r="F290" s="634"/>
      <c r="G290" s="634"/>
      <c r="H290" s="634"/>
      <c r="I290" s="634"/>
      <c r="J290" s="731"/>
      <c r="K290" s="731"/>
    </row>
    <row r="292" spans="1:17" s="667" customFormat="1" ht="24" customHeight="1" thickBot="1" x14ac:dyDescent="0.6">
      <c r="A292" s="1559" t="s">
        <v>795</v>
      </c>
      <c r="B292" s="1560"/>
      <c r="C292" s="1560"/>
      <c r="D292" s="1560"/>
      <c r="E292" s="1560"/>
      <c r="F292" s="1560"/>
      <c r="G292" s="1561"/>
    </row>
    <row r="293" spans="1:17" ht="90.65" customHeight="1" x14ac:dyDescent="0.35">
      <c r="A293" s="837"/>
      <c r="B293" s="837" t="s">
        <v>632</v>
      </c>
      <c r="C293" s="837" t="s">
        <v>796</v>
      </c>
      <c r="D293" s="837" t="s">
        <v>797</v>
      </c>
      <c r="E293" s="837" t="s">
        <v>798</v>
      </c>
      <c r="F293" s="837" t="s">
        <v>799</v>
      </c>
      <c r="G293" s="967" t="s">
        <v>800</v>
      </c>
      <c r="H293" s="838" t="s">
        <v>561</v>
      </c>
    </row>
    <row r="294" spans="1:17" ht="16" thickBot="1" x14ac:dyDescent="0.4">
      <c r="A294" s="620" t="s">
        <v>801</v>
      </c>
      <c r="B294" s="692"/>
      <c r="C294" s="963">
        <f>B294*2.20462</f>
        <v>0</v>
      </c>
      <c r="D294" s="963">
        <f>D296</f>
        <v>4.0999999999999996</v>
      </c>
      <c r="E294" s="963">
        <f>C294/D294</f>
        <v>0</v>
      </c>
      <c r="F294" s="968">
        <v>3.3</v>
      </c>
      <c r="G294" s="969">
        <f>E294*F294</f>
        <v>0</v>
      </c>
      <c r="H294" s="970">
        <f>G294*0.000453591</f>
        <v>0</v>
      </c>
    </row>
    <row r="296" spans="1:17" x14ac:dyDescent="0.35">
      <c r="C296" s="617" t="s">
        <v>802</v>
      </c>
      <c r="D296" s="968">
        <v>4.0999999999999996</v>
      </c>
    </row>
    <row r="297" spans="1:17" x14ac:dyDescent="0.35">
      <c r="C297" s="617" t="s">
        <v>803</v>
      </c>
      <c r="D297" s="971" t="s">
        <v>804</v>
      </c>
    </row>
    <row r="300" spans="1:17" s="664" customFormat="1" ht="36" x14ac:dyDescent="0.8">
      <c r="A300" s="1479" t="s">
        <v>123</v>
      </c>
      <c r="B300" s="1480"/>
      <c r="C300" s="1480"/>
      <c r="D300" s="1480"/>
      <c r="E300" s="1480"/>
      <c r="F300" s="1480"/>
      <c r="G300" s="1480"/>
      <c r="H300" s="1480"/>
      <c r="I300" s="1480"/>
      <c r="J300" s="1480"/>
      <c r="K300" s="1480"/>
      <c r="L300" s="1480"/>
      <c r="M300" s="1480"/>
      <c r="N300" s="1480"/>
      <c r="O300" s="1480"/>
      <c r="P300" s="1480"/>
      <c r="Q300" s="1481"/>
    </row>
    <row r="301" spans="1:17" ht="19" thickBot="1" x14ac:dyDescent="0.5">
      <c r="A301" s="972" t="s">
        <v>805</v>
      </c>
      <c r="B301" s="603"/>
      <c r="C301" s="603"/>
      <c r="D301" s="603"/>
      <c r="E301" s="603"/>
      <c r="F301" s="603"/>
      <c r="G301" s="603"/>
      <c r="H301" s="603"/>
      <c r="I301" s="603"/>
      <c r="J301" s="603"/>
      <c r="K301" s="603"/>
      <c r="L301" s="603"/>
      <c r="M301" s="603"/>
      <c r="N301" s="603"/>
      <c r="O301" s="603"/>
      <c r="P301" s="603"/>
      <c r="Q301" s="603"/>
    </row>
    <row r="303" spans="1:17" s="667" customFormat="1" ht="23.5" x14ac:dyDescent="0.55000000000000004">
      <c r="B303" s="1461" t="s">
        <v>330</v>
      </c>
      <c r="C303" s="1462"/>
    </row>
    <row r="304" spans="1:17" s="667" customFormat="1" ht="24" thickBot="1" x14ac:dyDescent="0.6">
      <c r="A304" s="1541" t="s">
        <v>781</v>
      </c>
      <c r="B304" s="1542"/>
      <c r="C304" s="1542"/>
      <c r="D304" s="1542"/>
      <c r="E304" s="1542"/>
      <c r="F304" s="1542"/>
      <c r="G304" s="1542"/>
      <c r="H304" s="1542"/>
      <c r="I304" s="1542"/>
      <c r="J304" s="1542"/>
      <c r="K304" s="1542"/>
      <c r="L304" s="1542"/>
      <c r="M304" s="1542"/>
      <c r="N304" s="1542"/>
      <c r="O304" s="1542"/>
    </row>
    <row r="305" spans="1:15" ht="31" x14ac:dyDescent="0.35">
      <c r="A305" s="672" t="s">
        <v>782</v>
      </c>
      <c r="B305" s="672" t="s">
        <v>784</v>
      </c>
      <c r="C305" s="672" t="s">
        <v>806</v>
      </c>
      <c r="D305" s="672" t="s">
        <v>786</v>
      </c>
      <c r="E305" s="672" t="s">
        <v>787</v>
      </c>
      <c r="F305" s="838" t="s">
        <v>561</v>
      </c>
    </row>
    <row r="306" spans="1:15" x14ac:dyDescent="0.35">
      <c r="A306" s="692"/>
      <c r="B306" s="925"/>
      <c r="C306" s="840"/>
      <c r="D306" s="973">
        <f>C306/1000</f>
        <v>0</v>
      </c>
      <c r="E306" s="964">
        <f>D306*B306</f>
        <v>0</v>
      </c>
      <c r="F306" s="965">
        <f>'Emission Factors'!$D$359*E306*0.001</f>
        <v>0</v>
      </c>
    </row>
    <row r="307" spans="1:15" x14ac:dyDescent="0.35">
      <c r="A307" s="692"/>
      <c r="B307" s="925"/>
      <c r="C307" s="840"/>
      <c r="D307" s="973">
        <f t="shared" ref="D307:D313" si="36">C307/1000</f>
        <v>0</v>
      </c>
      <c r="E307" s="964">
        <f t="shared" ref="E307:E313" si="37">D307*B307</f>
        <v>0</v>
      </c>
      <c r="F307" s="965">
        <f>'Emission Factors'!$D$359*E307*0.001</f>
        <v>0</v>
      </c>
    </row>
    <row r="308" spans="1:15" x14ac:dyDescent="0.35">
      <c r="A308" s="692"/>
      <c r="B308" s="925"/>
      <c r="C308" s="840"/>
      <c r="D308" s="973">
        <f t="shared" si="36"/>
        <v>0</v>
      </c>
      <c r="E308" s="964">
        <f t="shared" si="37"/>
        <v>0</v>
      </c>
      <c r="F308" s="965">
        <f>'Emission Factors'!$D$359*E308*0.001</f>
        <v>0</v>
      </c>
    </row>
    <row r="309" spans="1:15" x14ac:dyDescent="0.35">
      <c r="A309" s="692"/>
      <c r="B309" s="925"/>
      <c r="C309" s="840"/>
      <c r="D309" s="973">
        <f t="shared" si="36"/>
        <v>0</v>
      </c>
      <c r="E309" s="964">
        <f t="shared" si="37"/>
        <v>0</v>
      </c>
      <c r="F309" s="965">
        <f>'Emission Factors'!$D$359*E309*0.001</f>
        <v>0</v>
      </c>
    </row>
    <row r="310" spans="1:15" x14ac:dyDescent="0.35">
      <c r="A310" s="692"/>
      <c r="B310" s="925"/>
      <c r="C310" s="840"/>
      <c r="D310" s="973">
        <f t="shared" si="36"/>
        <v>0</v>
      </c>
      <c r="E310" s="964">
        <f t="shared" si="37"/>
        <v>0</v>
      </c>
      <c r="F310" s="965">
        <f>'Emission Factors'!$D$359*E310*0.001</f>
        <v>0</v>
      </c>
    </row>
    <row r="311" spans="1:15" x14ac:dyDescent="0.35">
      <c r="A311" s="692"/>
      <c r="B311" s="925"/>
      <c r="C311" s="840"/>
      <c r="D311" s="973">
        <f t="shared" si="36"/>
        <v>0</v>
      </c>
      <c r="E311" s="964">
        <f t="shared" si="37"/>
        <v>0</v>
      </c>
      <c r="F311" s="965">
        <f>'Emission Factors'!$D$359*E311*0.001</f>
        <v>0</v>
      </c>
    </row>
    <row r="312" spans="1:15" x14ac:dyDescent="0.35">
      <c r="A312" s="692"/>
      <c r="B312" s="925"/>
      <c r="C312" s="840"/>
      <c r="D312" s="973">
        <f t="shared" si="36"/>
        <v>0</v>
      </c>
      <c r="E312" s="964">
        <f t="shared" si="37"/>
        <v>0</v>
      </c>
      <c r="F312" s="965">
        <f>'Emission Factors'!$D$359*E312*0.001</f>
        <v>0</v>
      </c>
    </row>
    <row r="313" spans="1:15" x14ac:dyDescent="0.35">
      <c r="A313" s="692"/>
      <c r="B313" s="925"/>
      <c r="C313" s="840"/>
      <c r="D313" s="973">
        <f t="shared" si="36"/>
        <v>0</v>
      </c>
      <c r="E313" s="964">
        <f t="shared" si="37"/>
        <v>0</v>
      </c>
      <c r="F313" s="965">
        <f>'Emission Factors'!$D$359*E313*0.001</f>
        <v>0</v>
      </c>
    </row>
    <row r="314" spans="1:15" s="667" customFormat="1" ht="24" thickBot="1" x14ac:dyDescent="0.6">
      <c r="A314" s="1541" t="s">
        <v>789</v>
      </c>
      <c r="B314" s="1542"/>
      <c r="C314" s="1542"/>
      <c r="D314" s="1542"/>
      <c r="E314" s="1542"/>
      <c r="F314" s="1542"/>
      <c r="G314" s="1542"/>
      <c r="H314" s="1542"/>
      <c r="I314" s="1542"/>
      <c r="J314" s="1542"/>
      <c r="K314" s="1542"/>
      <c r="L314" s="1542"/>
      <c r="M314" s="1542"/>
      <c r="N314" s="1542"/>
      <c r="O314" s="1542"/>
    </row>
    <row r="315" spans="1:15" ht="31" x14ac:dyDescent="0.35">
      <c r="A315" s="672" t="s">
        <v>782</v>
      </c>
      <c r="B315" s="672" t="s">
        <v>784</v>
      </c>
      <c r="C315" s="672" t="s">
        <v>806</v>
      </c>
      <c r="D315" s="672" t="s">
        <v>786</v>
      </c>
      <c r="E315" s="672" t="s">
        <v>787</v>
      </c>
      <c r="F315" s="838" t="s">
        <v>561</v>
      </c>
    </row>
    <row r="316" spans="1:15" x14ac:dyDescent="0.35">
      <c r="A316" s="692"/>
      <c r="B316" s="925"/>
      <c r="C316" s="840"/>
      <c r="D316" s="973">
        <f>C316/1000</f>
        <v>0</v>
      </c>
      <c r="E316" s="964">
        <f>D316*B316</f>
        <v>0</v>
      </c>
      <c r="F316" s="965">
        <f>'Emission Factors'!$D$501*E316*0.001</f>
        <v>0</v>
      </c>
    </row>
    <row r="317" spans="1:15" x14ac:dyDescent="0.35">
      <c r="A317" s="692"/>
      <c r="B317" s="925"/>
      <c r="C317" s="840"/>
      <c r="D317" s="973">
        <f t="shared" ref="D317:D323" si="38">C317/1000</f>
        <v>0</v>
      </c>
      <c r="E317" s="964">
        <f t="shared" ref="E317:E323" si="39">D317*B317</f>
        <v>0</v>
      </c>
      <c r="F317" s="965">
        <f>'Emission Factors'!$D$501*E317*0.001</f>
        <v>0</v>
      </c>
    </row>
    <row r="318" spans="1:15" x14ac:dyDescent="0.35">
      <c r="A318" s="692"/>
      <c r="B318" s="925"/>
      <c r="C318" s="840"/>
      <c r="D318" s="973">
        <f t="shared" si="38"/>
        <v>0</v>
      </c>
      <c r="E318" s="964">
        <f t="shared" si="39"/>
        <v>0</v>
      </c>
      <c r="F318" s="965">
        <f>'Emission Factors'!$D$501*E318*0.001</f>
        <v>0</v>
      </c>
    </row>
    <row r="319" spans="1:15" x14ac:dyDescent="0.35">
      <c r="A319" s="692"/>
      <c r="B319" s="925"/>
      <c r="C319" s="840"/>
      <c r="D319" s="973">
        <f t="shared" si="38"/>
        <v>0</v>
      </c>
      <c r="E319" s="964">
        <f t="shared" si="39"/>
        <v>0</v>
      </c>
      <c r="F319" s="965">
        <f>'Emission Factors'!$D$501*E319*0.001</f>
        <v>0</v>
      </c>
    </row>
    <row r="320" spans="1:15" x14ac:dyDescent="0.35">
      <c r="A320" s="692"/>
      <c r="B320" s="925"/>
      <c r="C320" s="840"/>
      <c r="D320" s="973">
        <f t="shared" si="38"/>
        <v>0</v>
      </c>
      <c r="E320" s="964">
        <f t="shared" si="39"/>
        <v>0</v>
      </c>
      <c r="F320" s="965">
        <f>'Emission Factors'!$D$501*E320*0.001</f>
        <v>0</v>
      </c>
    </row>
    <row r="321" spans="1:15" x14ac:dyDescent="0.35">
      <c r="A321" s="692"/>
      <c r="B321" s="925"/>
      <c r="C321" s="840"/>
      <c r="D321" s="973">
        <f t="shared" si="38"/>
        <v>0</v>
      </c>
      <c r="E321" s="964">
        <f t="shared" si="39"/>
        <v>0</v>
      </c>
      <c r="F321" s="965">
        <f>'Emission Factors'!$D$501*E321*0.001</f>
        <v>0</v>
      </c>
    </row>
    <row r="322" spans="1:15" x14ac:dyDescent="0.35">
      <c r="A322" s="692"/>
      <c r="B322" s="925"/>
      <c r="C322" s="840"/>
      <c r="D322" s="973">
        <f t="shared" si="38"/>
        <v>0</v>
      </c>
      <c r="E322" s="964">
        <f t="shared" si="39"/>
        <v>0</v>
      </c>
      <c r="F322" s="965">
        <f>'Emission Factors'!$D$501*E322*0.001</f>
        <v>0</v>
      </c>
    </row>
    <row r="323" spans="1:15" x14ac:dyDescent="0.35">
      <c r="A323" s="692"/>
      <c r="B323" s="925"/>
      <c r="C323" s="840"/>
      <c r="D323" s="973">
        <f t="shared" si="38"/>
        <v>0</v>
      </c>
      <c r="E323" s="964">
        <f t="shared" si="39"/>
        <v>0</v>
      </c>
      <c r="F323" s="965">
        <f>'Emission Factors'!$D$501*E323*0.001</f>
        <v>0</v>
      </c>
    </row>
    <row r="324" spans="1:15" s="667" customFormat="1" ht="24" customHeight="1" thickBot="1" x14ac:dyDescent="0.6">
      <c r="A324" s="1541" t="s">
        <v>790</v>
      </c>
      <c r="B324" s="1542"/>
      <c r="C324" s="1542"/>
      <c r="D324" s="1542"/>
      <c r="E324" s="1542"/>
      <c r="F324" s="1542"/>
      <c r="G324" s="1542"/>
      <c r="H324" s="1542"/>
      <c r="I324" s="1542"/>
      <c r="J324" s="1542"/>
      <c r="K324" s="1542"/>
      <c r="L324" s="1542"/>
      <c r="M324" s="1542"/>
      <c r="N324" s="1542"/>
      <c r="O324" s="1542"/>
    </row>
    <row r="325" spans="1:15" ht="31" x14ac:dyDescent="0.35">
      <c r="A325" s="837" t="s">
        <v>782</v>
      </c>
      <c r="B325" s="837" t="s">
        <v>784</v>
      </c>
      <c r="C325" s="837" t="s">
        <v>806</v>
      </c>
      <c r="D325" s="837" t="s">
        <v>786</v>
      </c>
      <c r="E325" s="672" t="s">
        <v>787</v>
      </c>
      <c r="F325" s="838" t="s">
        <v>561</v>
      </c>
    </row>
    <row r="326" spans="1:15" x14ac:dyDescent="0.35">
      <c r="A326" s="692"/>
      <c r="B326" s="925"/>
      <c r="C326" s="840"/>
      <c r="D326" s="973">
        <f>C326/1000</f>
        <v>0</v>
      </c>
      <c r="E326" s="964">
        <f>D326*B326</f>
        <v>0</v>
      </c>
      <c r="F326" s="965">
        <f>(E326*0.5*'Emission Factors'!$D$359)+(E326*0.5*'Emission Factors'!$D$501)*0.001</f>
        <v>0</v>
      </c>
    </row>
    <row r="327" spans="1:15" x14ac:dyDescent="0.35">
      <c r="A327" s="692"/>
      <c r="B327" s="925"/>
      <c r="C327" s="840"/>
      <c r="D327" s="973">
        <f t="shared" ref="D327:D333" si="40">C327/1000</f>
        <v>0</v>
      </c>
      <c r="E327" s="964">
        <f t="shared" ref="E327:E333" si="41">D327*B327</f>
        <v>0</v>
      </c>
      <c r="F327" s="965">
        <f>(E327*0.5*'Emission Factors'!$D$359)+(E327*0.5*'Emission Factors'!$D$501)*0.001</f>
        <v>0</v>
      </c>
    </row>
    <row r="328" spans="1:15" x14ac:dyDescent="0.35">
      <c r="A328" s="692"/>
      <c r="B328" s="925"/>
      <c r="C328" s="840"/>
      <c r="D328" s="973">
        <f t="shared" si="40"/>
        <v>0</v>
      </c>
      <c r="E328" s="964">
        <f t="shared" si="41"/>
        <v>0</v>
      </c>
      <c r="F328" s="965">
        <f>(E328*0.5*'Emission Factors'!$D$359)+(E328*0.5*'Emission Factors'!$D$501)*0.001</f>
        <v>0</v>
      </c>
    </row>
    <row r="329" spans="1:15" x14ac:dyDescent="0.35">
      <c r="A329" s="692"/>
      <c r="B329" s="925"/>
      <c r="C329" s="840"/>
      <c r="D329" s="973">
        <f t="shared" si="40"/>
        <v>0</v>
      </c>
      <c r="E329" s="964">
        <f t="shared" si="41"/>
        <v>0</v>
      </c>
      <c r="F329" s="965">
        <f>(E329*0.5*'Emission Factors'!$D$359)+(E329*0.5*'Emission Factors'!$D$501)*0.001</f>
        <v>0</v>
      </c>
    </row>
    <row r="330" spans="1:15" x14ac:dyDescent="0.35">
      <c r="A330" s="692"/>
      <c r="B330" s="925"/>
      <c r="C330" s="840"/>
      <c r="D330" s="973">
        <f t="shared" si="40"/>
        <v>0</v>
      </c>
      <c r="E330" s="964">
        <f t="shared" si="41"/>
        <v>0</v>
      </c>
      <c r="F330" s="965">
        <f>(E330*0.5*'Emission Factors'!$D$359)+(E330*0.5*'Emission Factors'!$D$501)*0.001</f>
        <v>0</v>
      </c>
    </row>
    <row r="331" spans="1:15" x14ac:dyDescent="0.35">
      <c r="A331" s="692"/>
      <c r="B331" s="925"/>
      <c r="C331" s="840"/>
      <c r="D331" s="973">
        <f t="shared" si="40"/>
        <v>0</v>
      </c>
      <c r="E331" s="964">
        <f t="shared" si="41"/>
        <v>0</v>
      </c>
      <c r="F331" s="965">
        <f>(E331*0.5*'Emission Factors'!$D$359)+(E331*0.5*'Emission Factors'!$D$501)*0.001</f>
        <v>0</v>
      </c>
    </row>
    <row r="332" spans="1:15" x14ac:dyDescent="0.35">
      <c r="A332" s="692"/>
      <c r="B332" s="925"/>
      <c r="C332" s="840"/>
      <c r="D332" s="973">
        <f t="shared" si="40"/>
        <v>0</v>
      </c>
      <c r="E332" s="964">
        <f t="shared" si="41"/>
        <v>0</v>
      </c>
      <c r="F332" s="965">
        <f>(E332*0.5*'Emission Factors'!$D$359)+(E332*0.5*'Emission Factors'!$D$501)*0.001</f>
        <v>0</v>
      </c>
    </row>
    <row r="333" spans="1:15" x14ac:dyDescent="0.35">
      <c r="A333" s="692"/>
      <c r="B333" s="925"/>
      <c r="C333" s="840"/>
      <c r="D333" s="973">
        <f t="shared" si="40"/>
        <v>0</v>
      </c>
      <c r="E333" s="964">
        <f t="shared" si="41"/>
        <v>0</v>
      </c>
      <c r="F333" s="965">
        <f>(E333*0.5*'Emission Factors'!$D$359)+(E333*0.5*'Emission Factors'!$D$501)*0.001</f>
        <v>0</v>
      </c>
    </row>
    <row r="334" spans="1:15" s="667" customFormat="1" ht="24" customHeight="1" thickBot="1" x14ac:dyDescent="0.6">
      <c r="A334" s="1541" t="s">
        <v>791</v>
      </c>
      <c r="B334" s="1542"/>
      <c r="C334" s="1542"/>
      <c r="D334" s="1542"/>
      <c r="E334" s="1542"/>
      <c r="F334" s="1542"/>
      <c r="G334" s="1542"/>
      <c r="H334" s="1542"/>
      <c r="I334" s="1542"/>
      <c r="J334" s="1542"/>
      <c r="K334" s="1542"/>
      <c r="L334" s="1542"/>
      <c r="M334" s="1542"/>
      <c r="N334" s="1542"/>
      <c r="O334" s="1542"/>
    </row>
    <row r="335" spans="1:15" ht="31" x14ac:dyDescent="0.35">
      <c r="A335" s="837" t="s">
        <v>782</v>
      </c>
      <c r="B335" s="837" t="s">
        <v>784</v>
      </c>
      <c r="C335" s="837" t="s">
        <v>806</v>
      </c>
      <c r="D335" s="837" t="s">
        <v>786</v>
      </c>
      <c r="E335" s="672" t="s">
        <v>787</v>
      </c>
      <c r="F335" s="838" t="s">
        <v>561</v>
      </c>
    </row>
    <row r="336" spans="1:15" x14ac:dyDescent="0.35">
      <c r="A336" s="692"/>
      <c r="B336" s="925"/>
      <c r="C336" s="840"/>
      <c r="D336" s="973">
        <f>C336/1000</f>
        <v>0</v>
      </c>
      <c r="E336" s="964">
        <f>D336*B336</f>
        <v>0</v>
      </c>
      <c r="F336" s="965">
        <f>(E336*0.75*'Emission Factors'!$D$359)+(E336*0.25*'Emission Factors'!$D$501)*0.001</f>
        <v>0</v>
      </c>
    </row>
    <row r="337" spans="1:15" x14ac:dyDescent="0.35">
      <c r="A337" s="692"/>
      <c r="B337" s="925"/>
      <c r="C337" s="840"/>
      <c r="D337" s="973">
        <f t="shared" ref="D337:D343" si="42">C337/1000</f>
        <v>0</v>
      </c>
      <c r="E337" s="964">
        <f t="shared" ref="E337:E343" si="43">D337*B337</f>
        <v>0</v>
      </c>
      <c r="F337" s="965">
        <f>(E337*0.75*'Emission Factors'!$D$359)+(E337*0.25*'Emission Factors'!$D$501)*0.001</f>
        <v>0</v>
      </c>
    </row>
    <row r="338" spans="1:15" x14ac:dyDescent="0.35">
      <c r="A338" s="692"/>
      <c r="B338" s="925"/>
      <c r="C338" s="840"/>
      <c r="D338" s="973">
        <f t="shared" si="42"/>
        <v>0</v>
      </c>
      <c r="E338" s="964">
        <f t="shared" si="43"/>
        <v>0</v>
      </c>
      <c r="F338" s="965">
        <f>(E338*0.75*'Emission Factors'!$D$359)+(E338*0.25*'Emission Factors'!$D$501)*0.001</f>
        <v>0</v>
      </c>
    </row>
    <row r="339" spans="1:15" x14ac:dyDescent="0.35">
      <c r="A339" s="692"/>
      <c r="B339" s="925"/>
      <c r="C339" s="840"/>
      <c r="D339" s="973">
        <f t="shared" si="42"/>
        <v>0</v>
      </c>
      <c r="E339" s="964">
        <f t="shared" si="43"/>
        <v>0</v>
      </c>
      <c r="F339" s="965">
        <f>(E339*0.75*'Emission Factors'!$D$359)+(E339*0.25*'Emission Factors'!$D$501)*0.001</f>
        <v>0</v>
      </c>
    </row>
    <row r="340" spans="1:15" x14ac:dyDescent="0.35">
      <c r="A340" s="692"/>
      <c r="B340" s="925"/>
      <c r="C340" s="840"/>
      <c r="D340" s="973">
        <f t="shared" si="42"/>
        <v>0</v>
      </c>
      <c r="E340" s="964">
        <f t="shared" si="43"/>
        <v>0</v>
      </c>
      <c r="F340" s="965">
        <f>(E340*0.75*'Emission Factors'!$D$359)+(E340*0.25*'Emission Factors'!$D$501)*0.001</f>
        <v>0</v>
      </c>
    </row>
    <row r="341" spans="1:15" x14ac:dyDescent="0.35">
      <c r="A341" s="692"/>
      <c r="B341" s="925"/>
      <c r="C341" s="840"/>
      <c r="D341" s="973">
        <f t="shared" si="42"/>
        <v>0</v>
      </c>
      <c r="E341" s="964">
        <f t="shared" si="43"/>
        <v>0</v>
      </c>
      <c r="F341" s="965">
        <f>(E341*0.75*'Emission Factors'!$D$359)+(E341*0.25*'Emission Factors'!$D$501)*0.001</f>
        <v>0</v>
      </c>
    </row>
    <row r="342" spans="1:15" x14ac:dyDescent="0.35">
      <c r="A342" s="692"/>
      <c r="B342" s="925"/>
      <c r="C342" s="840"/>
      <c r="D342" s="973">
        <f t="shared" si="42"/>
        <v>0</v>
      </c>
      <c r="E342" s="964">
        <f t="shared" si="43"/>
        <v>0</v>
      </c>
      <c r="F342" s="965">
        <f>(E342*0.75*'Emission Factors'!$D$359)+(E342*0.25*'Emission Factors'!$D$501)*0.001</f>
        <v>0</v>
      </c>
    </row>
    <row r="343" spans="1:15" x14ac:dyDescent="0.35">
      <c r="A343" s="692"/>
      <c r="B343" s="925"/>
      <c r="C343" s="840"/>
      <c r="D343" s="973">
        <f t="shared" si="42"/>
        <v>0</v>
      </c>
      <c r="E343" s="964">
        <f t="shared" si="43"/>
        <v>0</v>
      </c>
      <c r="F343" s="965">
        <f>(E343*0.75*'Emission Factors'!$D$359)+(E343*0.25*'Emission Factors'!$D$501)*0.001</f>
        <v>0</v>
      </c>
    </row>
    <row r="344" spans="1:15" s="667" customFormat="1" ht="24" customHeight="1" thickBot="1" x14ac:dyDescent="0.6">
      <c r="A344" s="1541" t="s">
        <v>792</v>
      </c>
      <c r="B344" s="1542"/>
      <c r="C344" s="1542"/>
      <c r="D344" s="1542"/>
      <c r="E344" s="1542"/>
      <c r="F344" s="1542"/>
      <c r="G344" s="1542"/>
      <c r="H344" s="1542"/>
      <c r="I344" s="1542"/>
      <c r="J344" s="1542"/>
      <c r="K344" s="1542"/>
      <c r="L344" s="1542"/>
      <c r="M344" s="1542"/>
      <c r="N344" s="1542"/>
      <c r="O344" s="1542"/>
    </row>
    <row r="345" spans="1:15" ht="31" x14ac:dyDescent="0.35">
      <c r="A345" s="837" t="s">
        <v>782</v>
      </c>
      <c r="B345" s="837" t="s">
        <v>784</v>
      </c>
      <c r="C345" s="837" t="s">
        <v>806</v>
      </c>
      <c r="D345" s="837" t="s">
        <v>786</v>
      </c>
      <c r="E345" s="672" t="s">
        <v>787</v>
      </c>
      <c r="F345" s="838" t="s">
        <v>561</v>
      </c>
    </row>
    <row r="346" spans="1:15" x14ac:dyDescent="0.35">
      <c r="A346" s="692"/>
      <c r="B346" s="925"/>
      <c r="C346" s="840"/>
      <c r="D346" s="973">
        <f>C346/1000</f>
        <v>0</v>
      </c>
      <c r="E346" s="964">
        <f>D346*B346</f>
        <v>0</v>
      </c>
      <c r="F346" s="965">
        <f>(E346*0.25*'Emission Factors'!$D$359)+(E346*0.75*'Emission Factors'!$D$465)*0.001</f>
        <v>0</v>
      </c>
    </row>
    <row r="347" spans="1:15" x14ac:dyDescent="0.35">
      <c r="A347" s="692"/>
      <c r="B347" s="925"/>
      <c r="C347" s="840"/>
      <c r="D347" s="973">
        <f t="shared" ref="D347:D353" si="44">C347/1000</f>
        <v>0</v>
      </c>
      <c r="E347" s="964">
        <f t="shared" ref="E347:E353" si="45">D347*B347</f>
        <v>0</v>
      </c>
      <c r="F347" s="965">
        <f>(E347*0.25*'Emission Factors'!$D$359)+(E347*0.75*'Emission Factors'!$D$465)*0.001</f>
        <v>0</v>
      </c>
    </row>
    <row r="348" spans="1:15" x14ac:dyDescent="0.35">
      <c r="A348" s="692"/>
      <c r="B348" s="925"/>
      <c r="C348" s="840"/>
      <c r="D348" s="973">
        <f t="shared" si="44"/>
        <v>0</v>
      </c>
      <c r="E348" s="964">
        <f t="shared" si="45"/>
        <v>0</v>
      </c>
      <c r="F348" s="965">
        <f>(E348*0.25*'Emission Factors'!$D$359)+(E348*0.75*'Emission Factors'!$D$465)*0.001</f>
        <v>0</v>
      </c>
    </row>
    <row r="349" spans="1:15" x14ac:dyDescent="0.35">
      <c r="A349" s="692"/>
      <c r="B349" s="925"/>
      <c r="C349" s="840"/>
      <c r="D349" s="973">
        <f t="shared" si="44"/>
        <v>0</v>
      </c>
      <c r="E349" s="964">
        <f t="shared" si="45"/>
        <v>0</v>
      </c>
      <c r="F349" s="965">
        <f>(E349*0.25*'Emission Factors'!$D$359)+(E349*0.75*'Emission Factors'!$D$465)*0.001</f>
        <v>0</v>
      </c>
    </row>
    <row r="350" spans="1:15" x14ac:dyDescent="0.35">
      <c r="A350" s="692"/>
      <c r="B350" s="925"/>
      <c r="C350" s="840"/>
      <c r="D350" s="973">
        <f t="shared" si="44"/>
        <v>0</v>
      </c>
      <c r="E350" s="964">
        <f t="shared" si="45"/>
        <v>0</v>
      </c>
      <c r="F350" s="965">
        <f>(E350*0.25*'Emission Factors'!$D$359)+(E350*0.75*'Emission Factors'!$D$465)*0.001</f>
        <v>0</v>
      </c>
    </row>
    <row r="351" spans="1:15" x14ac:dyDescent="0.35">
      <c r="A351" s="692"/>
      <c r="B351" s="925"/>
      <c r="C351" s="840"/>
      <c r="D351" s="973">
        <f t="shared" si="44"/>
        <v>0</v>
      </c>
      <c r="E351" s="964">
        <f t="shared" si="45"/>
        <v>0</v>
      </c>
      <c r="F351" s="965">
        <f>(E351*0.25*'Emission Factors'!$D$359)+(E351*0.75*'Emission Factors'!$D$465)*0.001</f>
        <v>0</v>
      </c>
    </row>
    <row r="352" spans="1:15" x14ac:dyDescent="0.35">
      <c r="A352" s="692"/>
      <c r="B352" s="925"/>
      <c r="C352" s="840"/>
      <c r="D352" s="973">
        <f t="shared" si="44"/>
        <v>0</v>
      </c>
      <c r="E352" s="964">
        <f t="shared" si="45"/>
        <v>0</v>
      </c>
      <c r="F352" s="965">
        <f>(E352*0.25*'Emission Factors'!$D$359)+(E352*0.75*'Emission Factors'!$D$465)*0.001</f>
        <v>0</v>
      </c>
    </row>
    <row r="353" spans="1:35" x14ac:dyDescent="0.35">
      <c r="A353" s="692"/>
      <c r="B353" s="925"/>
      <c r="C353" s="840"/>
      <c r="D353" s="973">
        <f t="shared" si="44"/>
        <v>0</v>
      </c>
      <c r="E353" s="964">
        <f t="shared" si="45"/>
        <v>0</v>
      </c>
      <c r="F353" s="965">
        <f>(E353*0.25*'Emission Factors'!$D$359)+(E353*0.75*'Emission Factors'!$D$465)*0.001</f>
        <v>0</v>
      </c>
    </row>
    <row r="354" spans="1:35" s="667" customFormat="1" ht="24" customHeight="1" thickBot="1" x14ac:dyDescent="0.6">
      <c r="A354" s="1541" t="s">
        <v>793</v>
      </c>
      <c r="B354" s="1542"/>
      <c r="C354" s="1542"/>
      <c r="D354" s="1542"/>
      <c r="E354" s="1542"/>
      <c r="F354" s="1542"/>
      <c r="G354" s="1542"/>
      <c r="H354" s="1542"/>
      <c r="I354" s="1542"/>
      <c r="J354" s="1542"/>
      <c r="K354" s="1542"/>
      <c r="L354" s="1542"/>
      <c r="M354" s="1542"/>
      <c r="N354" s="1542"/>
      <c r="O354" s="1542"/>
    </row>
    <row r="355" spans="1:35" ht="31" x14ac:dyDescent="0.35">
      <c r="A355" s="837" t="s">
        <v>782</v>
      </c>
      <c r="B355" s="837" t="s">
        <v>784</v>
      </c>
      <c r="C355" s="837" t="s">
        <v>806</v>
      </c>
      <c r="D355" s="837" t="s">
        <v>786</v>
      </c>
      <c r="E355" s="672" t="s">
        <v>787</v>
      </c>
      <c r="F355" s="838" t="s">
        <v>561</v>
      </c>
    </row>
    <row r="356" spans="1:35" x14ac:dyDescent="0.35">
      <c r="A356" s="692"/>
      <c r="B356" s="925"/>
      <c r="C356" s="840"/>
      <c r="D356" s="973">
        <f>C356/1000</f>
        <v>0</v>
      </c>
      <c r="E356" s="964">
        <f>D356*B356</f>
        <v>0</v>
      </c>
      <c r="F356" s="965">
        <f>(E356*0.25*'Emission Factors'!$D$501)+(E356*0.75*'Emission Factors'!$D$465)*0.001</f>
        <v>0</v>
      </c>
    </row>
    <row r="357" spans="1:35" x14ac:dyDescent="0.35">
      <c r="A357" s="692"/>
      <c r="B357" s="925"/>
      <c r="C357" s="840"/>
      <c r="D357" s="973">
        <f t="shared" ref="D357:D363" si="46">C357/1000</f>
        <v>0</v>
      </c>
      <c r="E357" s="964">
        <f t="shared" ref="E357:E363" si="47">D357*B357</f>
        <v>0</v>
      </c>
      <c r="F357" s="965">
        <f>(E357*0.25*'Emission Factors'!$D$501)+(E357*0.75*'Emission Factors'!$D$465)*0.001</f>
        <v>0</v>
      </c>
    </row>
    <row r="358" spans="1:35" x14ac:dyDescent="0.35">
      <c r="A358" s="692"/>
      <c r="B358" s="925"/>
      <c r="C358" s="840"/>
      <c r="D358" s="973">
        <f t="shared" si="46"/>
        <v>0</v>
      </c>
      <c r="E358" s="964">
        <f t="shared" si="47"/>
        <v>0</v>
      </c>
      <c r="F358" s="965">
        <f>(E358*0.25*'Emission Factors'!$D$501)+(E358*0.75*'Emission Factors'!$D$465)*0.001</f>
        <v>0</v>
      </c>
    </row>
    <row r="359" spans="1:35" x14ac:dyDescent="0.35">
      <c r="A359" s="692"/>
      <c r="B359" s="925"/>
      <c r="C359" s="840"/>
      <c r="D359" s="973">
        <f t="shared" si="46"/>
        <v>0</v>
      </c>
      <c r="E359" s="964">
        <f t="shared" si="47"/>
        <v>0</v>
      </c>
      <c r="F359" s="965">
        <f>(E359*0.25*'Emission Factors'!$D$501)+(E359*0.75*'Emission Factors'!$D$465)*0.001</f>
        <v>0</v>
      </c>
    </row>
    <row r="360" spans="1:35" x14ac:dyDescent="0.35">
      <c r="A360" s="692"/>
      <c r="B360" s="925"/>
      <c r="C360" s="840"/>
      <c r="D360" s="973">
        <f t="shared" si="46"/>
        <v>0</v>
      </c>
      <c r="E360" s="964">
        <f t="shared" si="47"/>
        <v>0</v>
      </c>
      <c r="F360" s="965">
        <f>(E360*0.25*'Emission Factors'!$D$501)+(E360*0.75*'Emission Factors'!$D$465)*0.001</f>
        <v>0</v>
      </c>
    </row>
    <row r="361" spans="1:35" x14ac:dyDescent="0.35">
      <c r="A361" s="692"/>
      <c r="B361" s="925"/>
      <c r="C361" s="840"/>
      <c r="D361" s="973">
        <f t="shared" si="46"/>
        <v>0</v>
      </c>
      <c r="E361" s="964">
        <f t="shared" si="47"/>
        <v>0</v>
      </c>
      <c r="F361" s="965">
        <f>(E361*0.25*'Emission Factors'!$D$501)+(E361*0.75*'Emission Factors'!$D$465)*0.001</f>
        <v>0</v>
      </c>
    </row>
    <row r="362" spans="1:35" x14ac:dyDescent="0.35">
      <c r="A362" s="692"/>
      <c r="B362" s="925"/>
      <c r="C362" s="840"/>
      <c r="D362" s="973">
        <f t="shared" si="46"/>
        <v>0</v>
      </c>
      <c r="E362" s="964">
        <f t="shared" si="47"/>
        <v>0</v>
      </c>
      <c r="F362" s="965">
        <f>(E362*0.25*'Emission Factors'!$D$501)+(E362*0.75*'Emission Factors'!$D$465)*0.001</f>
        <v>0</v>
      </c>
    </row>
    <row r="363" spans="1:35" x14ac:dyDescent="0.35">
      <c r="A363" s="692"/>
      <c r="B363" s="925"/>
      <c r="C363" s="840"/>
      <c r="D363" s="973">
        <f t="shared" si="46"/>
        <v>0</v>
      </c>
      <c r="E363" s="964">
        <f t="shared" si="47"/>
        <v>0</v>
      </c>
      <c r="F363" s="965">
        <f>(E363*0.25*'Emission Factors'!$D$501)+(E363*0.75*'Emission Factors'!$D$465)*0.001</f>
        <v>0</v>
      </c>
    </row>
    <row r="365" spans="1:35" s="1498" customFormat="1" ht="31" x14ac:dyDescent="0.7">
      <c r="A365" s="1498" t="s">
        <v>684</v>
      </c>
      <c r="B365" s="1543"/>
      <c r="C365" s="1543"/>
      <c r="D365" s="1543"/>
      <c r="E365" s="1543"/>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1543"/>
      <c r="AD365" s="1543"/>
      <c r="AE365" s="1543"/>
      <c r="AF365" s="1543"/>
      <c r="AG365" s="1543"/>
      <c r="AH365" s="1543"/>
      <c r="AI365" s="1543"/>
    </row>
    <row r="366" spans="1:35" x14ac:dyDescent="0.35">
      <c r="A366" s="909" t="s">
        <v>807</v>
      </c>
    </row>
    <row r="367" spans="1:35" ht="16" thickBot="1" x14ac:dyDescent="0.4">
      <c r="A367" s="845"/>
      <c r="C367" s="1494" t="s">
        <v>330</v>
      </c>
      <c r="D367" s="1495"/>
    </row>
    <row r="368" spans="1:35" ht="42" customHeight="1" x14ac:dyDescent="0.35">
      <c r="A368" s="974" t="s">
        <v>620</v>
      </c>
      <c r="B368" s="974" t="s">
        <v>621</v>
      </c>
      <c r="C368" s="620" t="s">
        <v>632</v>
      </c>
      <c r="D368" s="628" t="s">
        <v>808</v>
      </c>
      <c r="E368" s="620" t="s">
        <v>624</v>
      </c>
      <c r="F368" s="620" t="s">
        <v>625</v>
      </c>
      <c r="G368" s="628" t="s">
        <v>1750</v>
      </c>
      <c r="H368" s="975" t="s">
        <v>1751</v>
      </c>
      <c r="I368" s="838" t="s">
        <v>1745</v>
      </c>
    </row>
    <row r="369" spans="1:35" x14ac:dyDescent="0.35">
      <c r="A369" s="361"/>
      <c r="B369" s="361"/>
      <c r="C369" s="888">
        <f>A369*B369</f>
        <v>0</v>
      </c>
      <c r="D369" s="663">
        <f>C369*0.00110231</f>
        <v>0</v>
      </c>
      <c r="E369" s="889">
        <v>0.59099999999999997</v>
      </c>
      <c r="F369" s="889">
        <v>1</v>
      </c>
      <c r="G369" s="908">
        <f>0.24+0.05</f>
        <v>0.28999999999999998</v>
      </c>
      <c r="H369" s="976">
        <f>0.37+0.07+0.16</f>
        <v>0.6</v>
      </c>
      <c r="I369" s="624">
        <f t="shared" ref="I369:I380" si="48">SUM((D369*E369*G369)+(D369*F369*H369))</f>
        <v>0</v>
      </c>
    </row>
    <row r="370" spans="1:35" x14ac:dyDescent="0.35">
      <c r="A370" s="361"/>
      <c r="B370" s="361"/>
      <c r="C370" s="888">
        <f>A370*B370</f>
        <v>0</v>
      </c>
      <c r="D370" s="663">
        <f t="shared" ref="D370:D380" si="49">C370*0.00110231</f>
        <v>0</v>
      </c>
      <c r="E370" s="889">
        <v>0.59099999999999997</v>
      </c>
      <c r="F370" s="889">
        <v>0.40899999999999997</v>
      </c>
      <c r="G370" s="908">
        <f>0.24+0.05</f>
        <v>0.28999999999999998</v>
      </c>
      <c r="H370" s="976">
        <f>0.37+0.07+0.16</f>
        <v>0.6</v>
      </c>
      <c r="I370" s="624">
        <f t="shared" si="48"/>
        <v>0</v>
      </c>
    </row>
    <row r="371" spans="1:35" x14ac:dyDescent="0.35">
      <c r="A371" s="361"/>
      <c r="B371" s="361"/>
      <c r="C371" s="888">
        <f>A371*B371</f>
        <v>0</v>
      </c>
      <c r="D371" s="663">
        <f t="shared" si="49"/>
        <v>0</v>
      </c>
      <c r="E371" s="889">
        <v>0.59099999999999997</v>
      </c>
      <c r="F371" s="889">
        <v>0.40899999999999997</v>
      </c>
      <c r="G371" s="908">
        <f>0.24+0.05</f>
        <v>0.28999999999999998</v>
      </c>
      <c r="H371" s="976">
        <f>0.37+0.07+0.16</f>
        <v>0.6</v>
      </c>
      <c r="I371" s="624">
        <f t="shared" si="48"/>
        <v>0</v>
      </c>
    </row>
    <row r="372" spans="1:35" x14ac:dyDescent="0.35">
      <c r="A372" s="361"/>
      <c r="B372" s="361"/>
      <c r="C372" s="888">
        <f>A372*B372</f>
        <v>0</v>
      </c>
      <c r="D372" s="663">
        <f t="shared" si="49"/>
        <v>0</v>
      </c>
      <c r="E372" s="889">
        <v>0.59099999999999997</v>
      </c>
      <c r="F372" s="889">
        <v>0.40899999999999997</v>
      </c>
      <c r="G372" s="908">
        <f>0.24+0.05</f>
        <v>0.28999999999999998</v>
      </c>
      <c r="H372" s="976">
        <f>0.37+0.07+0.16</f>
        <v>0.6</v>
      </c>
      <c r="I372" s="624">
        <f t="shared" si="48"/>
        <v>0</v>
      </c>
    </row>
    <row r="373" spans="1:35" x14ac:dyDescent="0.35">
      <c r="A373" s="361"/>
      <c r="B373" s="361"/>
      <c r="C373" s="888">
        <f>A373*B373</f>
        <v>0</v>
      </c>
      <c r="D373" s="663">
        <f t="shared" si="49"/>
        <v>0</v>
      </c>
      <c r="E373" s="889">
        <v>0.59099999999999997</v>
      </c>
      <c r="F373" s="889">
        <v>0.40899999999999997</v>
      </c>
      <c r="G373" s="908">
        <f>0.24+0.05</f>
        <v>0.28999999999999998</v>
      </c>
      <c r="H373" s="976">
        <f>0.37+0.07+0.16</f>
        <v>0.6</v>
      </c>
      <c r="I373" s="624">
        <f t="shared" si="48"/>
        <v>0</v>
      </c>
    </row>
    <row r="374" spans="1:35" x14ac:dyDescent="0.35">
      <c r="A374" s="361"/>
      <c r="B374" s="361"/>
      <c r="C374" s="888">
        <f t="shared" ref="C374:C380" si="50">A374*B374</f>
        <v>0</v>
      </c>
      <c r="D374" s="663">
        <f t="shared" si="49"/>
        <v>0</v>
      </c>
      <c r="E374" s="889">
        <v>0.59099999999999997</v>
      </c>
      <c r="F374" s="889">
        <v>0.40899999999999997</v>
      </c>
      <c r="G374" s="908">
        <f t="shared" ref="G374:G380" si="51">0.24+0.05</f>
        <v>0.28999999999999998</v>
      </c>
      <c r="H374" s="976">
        <f t="shared" ref="H374:H380" si="52">0.37+0.07+0.16</f>
        <v>0.6</v>
      </c>
      <c r="I374" s="624">
        <f t="shared" si="48"/>
        <v>0</v>
      </c>
    </row>
    <row r="375" spans="1:35" x14ac:dyDescent="0.35">
      <c r="A375" s="361"/>
      <c r="B375" s="361"/>
      <c r="C375" s="888">
        <f t="shared" si="50"/>
        <v>0</v>
      </c>
      <c r="D375" s="663">
        <f t="shared" si="49"/>
        <v>0</v>
      </c>
      <c r="E375" s="889">
        <v>0.59099999999999997</v>
      </c>
      <c r="F375" s="889">
        <v>0.40899999999999997</v>
      </c>
      <c r="G375" s="908">
        <f t="shared" si="51"/>
        <v>0.28999999999999998</v>
      </c>
      <c r="H375" s="976">
        <f t="shared" si="52"/>
        <v>0.6</v>
      </c>
      <c r="I375" s="624">
        <f t="shared" si="48"/>
        <v>0</v>
      </c>
    </row>
    <row r="376" spans="1:35" x14ac:dyDescent="0.35">
      <c r="A376" s="361"/>
      <c r="B376" s="361"/>
      <c r="C376" s="888">
        <f t="shared" si="50"/>
        <v>0</v>
      </c>
      <c r="D376" s="663">
        <f t="shared" si="49"/>
        <v>0</v>
      </c>
      <c r="E376" s="889">
        <v>0.59099999999999997</v>
      </c>
      <c r="F376" s="889">
        <v>0.40899999999999997</v>
      </c>
      <c r="G376" s="908">
        <f t="shared" si="51"/>
        <v>0.28999999999999998</v>
      </c>
      <c r="H376" s="976">
        <f t="shared" si="52"/>
        <v>0.6</v>
      </c>
      <c r="I376" s="624">
        <f t="shared" si="48"/>
        <v>0</v>
      </c>
    </row>
    <row r="377" spans="1:35" x14ac:dyDescent="0.35">
      <c r="A377" s="361"/>
      <c r="B377" s="361"/>
      <c r="C377" s="888">
        <f t="shared" si="50"/>
        <v>0</v>
      </c>
      <c r="D377" s="663">
        <f t="shared" si="49"/>
        <v>0</v>
      </c>
      <c r="E377" s="889">
        <v>0.59099999999999997</v>
      </c>
      <c r="F377" s="889">
        <v>0.40899999999999997</v>
      </c>
      <c r="G377" s="908">
        <f t="shared" si="51"/>
        <v>0.28999999999999998</v>
      </c>
      <c r="H377" s="976">
        <f t="shared" si="52"/>
        <v>0.6</v>
      </c>
      <c r="I377" s="624">
        <f t="shared" si="48"/>
        <v>0</v>
      </c>
    </row>
    <row r="378" spans="1:35" x14ac:dyDescent="0.35">
      <c r="A378" s="361"/>
      <c r="B378" s="361"/>
      <c r="C378" s="888">
        <f t="shared" si="50"/>
        <v>0</v>
      </c>
      <c r="D378" s="663">
        <f t="shared" si="49"/>
        <v>0</v>
      </c>
      <c r="E378" s="889">
        <v>0.59099999999999997</v>
      </c>
      <c r="F378" s="889">
        <v>0.40899999999999997</v>
      </c>
      <c r="G378" s="908">
        <f t="shared" si="51"/>
        <v>0.28999999999999998</v>
      </c>
      <c r="H378" s="976">
        <f t="shared" si="52"/>
        <v>0.6</v>
      </c>
      <c r="I378" s="624">
        <f t="shared" si="48"/>
        <v>0</v>
      </c>
    </row>
    <row r="379" spans="1:35" x14ac:dyDescent="0.35">
      <c r="A379" s="361"/>
      <c r="B379" s="361"/>
      <c r="C379" s="888">
        <f t="shared" si="50"/>
        <v>0</v>
      </c>
      <c r="D379" s="663">
        <f t="shared" si="49"/>
        <v>0</v>
      </c>
      <c r="E379" s="889">
        <v>0.59099999999999997</v>
      </c>
      <c r="F379" s="889">
        <v>0.40899999999999997</v>
      </c>
      <c r="G379" s="908">
        <f t="shared" si="51"/>
        <v>0.28999999999999998</v>
      </c>
      <c r="H379" s="976">
        <f t="shared" si="52"/>
        <v>0.6</v>
      </c>
      <c r="I379" s="624">
        <f t="shared" si="48"/>
        <v>0</v>
      </c>
    </row>
    <row r="380" spans="1:35" x14ac:dyDescent="0.35">
      <c r="A380" s="361"/>
      <c r="B380" s="361"/>
      <c r="C380" s="888">
        <f t="shared" si="50"/>
        <v>0</v>
      </c>
      <c r="D380" s="663">
        <f t="shared" si="49"/>
        <v>0</v>
      </c>
      <c r="E380" s="889">
        <v>0.59099999999999997</v>
      </c>
      <c r="F380" s="889">
        <v>0.40899999999999997</v>
      </c>
      <c r="G380" s="908">
        <f t="shared" si="51"/>
        <v>0.28999999999999998</v>
      </c>
      <c r="H380" s="976">
        <f t="shared" si="52"/>
        <v>0.6</v>
      </c>
      <c r="I380" s="624">
        <f t="shared" si="48"/>
        <v>0</v>
      </c>
    </row>
    <row r="381" spans="1:35" ht="24" thickBot="1" x14ac:dyDescent="0.6">
      <c r="A381" s="648"/>
      <c r="H381" s="936" t="s">
        <v>327</v>
      </c>
      <c r="I381" s="927">
        <f>SUM(I369:I380)</f>
        <v>0</v>
      </c>
    </row>
    <row r="384" spans="1:35" s="1498" customFormat="1" ht="31" x14ac:dyDescent="0.7">
      <c r="A384" s="1498" t="s">
        <v>105</v>
      </c>
      <c r="B384" s="1499"/>
      <c r="C384" s="1499"/>
      <c r="D384" s="1499"/>
      <c r="E384" s="1499"/>
      <c r="F384" s="1499"/>
      <c r="G384" s="1499"/>
      <c r="H384" s="1499"/>
      <c r="I384" s="1499"/>
      <c r="J384" s="1499"/>
      <c r="K384" s="1499"/>
      <c r="L384" s="1499"/>
      <c r="M384" s="1499"/>
      <c r="N384" s="1499"/>
      <c r="O384" s="1499"/>
      <c r="P384" s="1499"/>
      <c r="Q384" s="1499"/>
      <c r="R384" s="1499"/>
      <c r="S384" s="1499"/>
      <c r="T384" s="1499"/>
      <c r="U384" s="1499"/>
      <c r="V384" s="1499"/>
      <c r="W384" s="1499"/>
      <c r="X384" s="1499"/>
      <c r="Y384" s="1499"/>
      <c r="Z384" s="1499"/>
      <c r="AA384" s="1499"/>
      <c r="AB384" s="1499"/>
      <c r="AC384" s="1499"/>
      <c r="AD384" s="1499"/>
      <c r="AE384" s="1499"/>
      <c r="AF384" s="1499"/>
      <c r="AG384" s="1499"/>
      <c r="AH384" s="1499"/>
      <c r="AI384" s="1499"/>
    </row>
    <row r="385" spans="1:15" s="667" customFormat="1" ht="23.5" x14ac:dyDescent="0.55000000000000004">
      <c r="B385" s="1461" t="s">
        <v>330</v>
      </c>
      <c r="C385" s="1462"/>
    </row>
    <row r="386" spans="1:15" s="667" customFormat="1" ht="24" thickBot="1" x14ac:dyDescent="0.6">
      <c r="A386" s="1541" t="s">
        <v>781</v>
      </c>
      <c r="B386" s="1542"/>
      <c r="C386" s="1542"/>
      <c r="D386" s="1542"/>
      <c r="E386" s="1542"/>
      <c r="F386" s="1542"/>
      <c r="G386" s="1542"/>
      <c r="H386" s="1542"/>
      <c r="I386" s="1542"/>
      <c r="J386" s="1542"/>
      <c r="K386" s="1542"/>
      <c r="L386" s="1542"/>
      <c r="M386" s="1542"/>
      <c r="N386" s="1542"/>
      <c r="O386" s="1542"/>
    </row>
    <row r="387" spans="1:15" ht="31" x14ac:dyDescent="0.35">
      <c r="A387" s="672" t="s">
        <v>782</v>
      </c>
      <c r="B387" s="672" t="s">
        <v>784</v>
      </c>
      <c r="C387" s="672" t="s">
        <v>806</v>
      </c>
      <c r="D387" s="672" t="s">
        <v>786</v>
      </c>
      <c r="E387" s="672" t="s">
        <v>787</v>
      </c>
      <c r="F387" s="838" t="s">
        <v>561</v>
      </c>
    </row>
    <row r="388" spans="1:15" x14ac:dyDescent="0.35">
      <c r="A388" s="692"/>
      <c r="B388" s="925"/>
      <c r="C388" s="840"/>
      <c r="D388" s="973">
        <f>C388/1000</f>
        <v>0</v>
      </c>
      <c r="E388" s="964">
        <f>D388*B388</f>
        <v>0</v>
      </c>
      <c r="F388" s="965">
        <f>'Emission Factors'!$D$359*E388*0.001</f>
        <v>0</v>
      </c>
    </row>
    <row r="389" spans="1:15" x14ac:dyDescent="0.35">
      <c r="A389" s="692"/>
      <c r="B389" s="925"/>
      <c r="C389" s="840"/>
      <c r="D389" s="973">
        <f t="shared" ref="D389:D395" si="53">C389/1000</f>
        <v>0</v>
      </c>
      <c r="E389" s="964">
        <f t="shared" ref="E389:E395" si="54">D389*B389</f>
        <v>0</v>
      </c>
      <c r="F389" s="965">
        <f>'Emission Factors'!$D$359*E389*0.001</f>
        <v>0</v>
      </c>
    </row>
    <row r="390" spans="1:15" x14ac:dyDescent="0.35">
      <c r="A390" s="692"/>
      <c r="B390" s="925"/>
      <c r="C390" s="840"/>
      <c r="D390" s="973">
        <f t="shared" si="53"/>
        <v>0</v>
      </c>
      <c r="E390" s="964">
        <f t="shared" si="54"/>
        <v>0</v>
      </c>
      <c r="F390" s="965">
        <f>'Emission Factors'!$D$359*E390*0.001</f>
        <v>0</v>
      </c>
    </row>
    <row r="391" spans="1:15" x14ac:dyDescent="0.35">
      <c r="A391" s="692"/>
      <c r="B391" s="925"/>
      <c r="C391" s="840"/>
      <c r="D391" s="973">
        <f t="shared" si="53"/>
        <v>0</v>
      </c>
      <c r="E391" s="964">
        <f t="shared" si="54"/>
        <v>0</v>
      </c>
      <c r="F391" s="965">
        <f>'Emission Factors'!$D$359*E391*0.001</f>
        <v>0</v>
      </c>
    </row>
    <row r="392" spans="1:15" x14ac:dyDescent="0.35">
      <c r="A392" s="692"/>
      <c r="B392" s="925"/>
      <c r="C392" s="840"/>
      <c r="D392" s="973">
        <f t="shared" si="53"/>
        <v>0</v>
      </c>
      <c r="E392" s="964">
        <f t="shared" si="54"/>
        <v>0</v>
      </c>
      <c r="F392" s="965">
        <f>'Emission Factors'!$D$359*E392*0.001</f>
        <v>0</v>
      </c>
    </row>
    <row r="393" spans="1:15" x14ac:dyDescent="0.35">
      <c r="A393" s="692"/>
      <c r="B393" s="925"/>
      <c r="C393" s="840"/>
      <c r="D393" s="973">
        <f t="shared" si="53"/>
        <v>0</v>
      </c>
      <c r="E393" s="964">
        <f t="shared" si="54"/>
        <v>0</v>
      </c>
      <c r="F393" s="965">
        <f>'Emission Factors'!$D$359*E393*0.001</f>
        <v>0</v>
      </c>
    </row>
    <row r="394" spans="1:15" x14ac:dyDescent="0.35">
      <c r="A394" s="692"/>
      <c r="B394" s="925"/>
      <c r="C394" s="840"/>
      <c r="D394" s="973">
        <f t="shared" si="53"/>
        <v>0</v>
      </c>
      <c r="E394" s="964">
        <f t="shared" si="54"/>
        <v>0</v>
      </c>
      <c r="F394" s="965">
        <f>'Emission Factors'!$D$359*E394*0.001</f>
        <v>0</v>
      </c>
    </row>
    <row r="395" spans="1:15" x14ac:dyDescent="0.35">
      <c r="A395" s="692"/>
      <c r="B395" s="925"/>
      <c r="C395" s="840"/>
      <c r="D395" s="973">
        <f t="shared" si="53"/>
        <v>0</v>
      </c>
      <c r="E395" s="964">
        <f t="shared" si="54"/>
        <v>0</v>
      </c>
      <c r="F395" s="965">
        <f>'Emission Factors'!$D$359*E395*0.001</f>
        <v>0</v>
      </c>
    </row>
    <row r="396" spans="1:15" s="667" customFormat="1" ht="24" thickBot="1" x14ac:dyDescent="0.6">
      <c r="A396" s="1541" t="s">
        <v>789</v>
      </c>
      <c r="B396" s="1542"/>
      <c r="C396" s="1542"/>
      <c r="D396" s="1542"/>
      <c r="E396" s="1542"/>
      <c r="F396" s="1542"/>
      <c r="G396" s="1542"/>
      <c r="H396" s="1542"/>
      <c r="I396" s="1542"/>
      <c r="J396" s="1542"/>
      <c r="K396" s="1542"/>
      <c r="L396" s="1542"/>
      <c r="M396" s="1542"/>
      <c r="N396" s="1542"/>
      <c r="O396" s="1542"/>
    </row>
    <row r="397" spans="1:15" ht="31" x14ac:dyDescent="0.35">
      <c r="A397" s="672" t="s">
        <v>782</v>
      </c>
      <c r="B397" s="672" t="s">
        <v>784</v>
      </c>
      <c r="C397" s="672" t="s">
        <v>806</v>
      </c>
      <c r="D397" s="672" t="s">
        <v>786</v>
      </c>
      <c r="E397" s="672" t="s">
        <v>787</v>
      </c>
      <c r="F397" s="838" t="s">
        <v>561</v>
      </c>
    </row>
    <row r="398" spans="1:15" x14ac:dyDescent="0.35">
      <c r="A398" s="692"/>
      <c r="B398" s="925"/>
      <c r="C398" s="840"/>
      <c r="D398" s="973">
        <f>C398/1000</f>
        <v>0</v>
      </c>
      <c r="E398" s="964">
        <f>D398*B398</f>
        <v>0</v>
      </c>
      <c r="F398" s="965">
        <f>'Emission Factors'!$D$501*E398*0.001</f>
        <v>0</v>
      </c>
    </row>
    <row r="399" spans="1:15" x14ac:dyDescent="0.35">
      <c r="A399" s="692"/>
      <c r="B399" s="925"/>
      <c r="C399" s="840"/>
      <c r="D399" s="973">
        <f t="shared" ref="D399:D405" si="55">C399/1000</f>
        <v>0</v>
      </c>
      <c r="E399" s="964">
        <f t="shared" ref="E399:E405" si="56">D399*B399</f>
        <v>0</v>
      </c>
      <c r="F399" s="965">
        <f>'Emission Factors'!$D$501*E399*0.001</f>
        <v>0</v>
      </c>
    </row>
    <row r="400" spans="1:15" x14ac:dyDescent="0.35">
      <c r="A400" s="692"/>
      <c r="B400" s="925"/>
      <c r="C400" s="840"/>
      <c r="D400" s="973">
        <f t="shared" si="55"/>
        <v>0</v>
      </c>
      <c r="E400" s="964">
        <f t="shared" si="56"/>
        <v>0</v>
      </c>
      <c r="F400" s="965">
        <f>'Emission Factors'!$D$501*E400*0.001</f>
        <v>0</v>
      </c>
    </row>
    <row r="401" spans="1:15" x14ac:dyDescent="0.35">
      <c r="A401" s="692"/>
      <c r="B401" s="925"/>
      <c r="C401" s="840"/>
      <c r="D401" s="973">
        <f t="shared" si="55"/>
        <v>0</v>
      </c>
      <c r="E401" s="964">
        <f t="shared" si="56"/>
        <v>0</v>
      </c>
      <c r="F401" s="965">
        <f>'Emission Factors'!$D$501*E401*0.001</f>
        <v>0</v>
      </c>
    </row>
    <row r="402" spans="1:15" x14ac:dyDescent="0.35">
      <c r="A402" s="692"/>
      <c r="B402" s="925"/>
      <c r="C402" s="840"/>
      <c r="D402" s="973">
        <f t="shared" si="55"/>
        <v>0</v>
      </c>
      <c r="E402" s="964">
        <f t="shared" si="56"/>
        <v>0</v>
      </c>
      <c r="F402" s="965">
        <f>'Emission Factors'!$D$501*E402*0.001</f>
        <v>0</v>
      </c>
    </row>
    <row r="403" spans="1:15" x14ac:dyDescent="0.35">
      <c r="A403" s="692"/>
      <c r="B403" s="925"/>
      <c r="C403" s="840"/>
      <c r="D403" s="973">
        <f t="shared" si="55"/>
        <v>0</v>
      </c>
      <c r="E403" s="964">
        <f t="shared" si="56"/>
        <v>0</v>
      </c>
      <c r="F403" s="965">
        <f>'Emission Factors'!$D$501*E403*0.001</f>
        <v>0</v>
      </c>
    </row>
    <row r="404" spans="1:15" x14ac:dyDescent="0.35">
      <c r="A404" s="692"/>
      <c r="B404" s="925"/>
      <c r="C404" s="840"/>
      <c r="D404" s="973">
        <f t="shared" si="55"/>
        <v>0</v>
      </c>
      <c r="E404" s="964">
        <f t="shared" si="56"/>
        <v>0</v>
      </c>
      <c r="F404" s="965">
        <f>'Emission Factors'!$D$501*E404*0.001</f>
        <v>0</v>
      </c>
    </row>
    <row r="405" spans="1:15" x14ac:dyDescent="0.35">
      <c r="A405" s="692"/>
      <c r="B405" s="925"/>
      <c r="C405" s="840"/>
      <c r="D405" s="973">
        <f t="shared" si="55"/>
        <v>0</v>
      </c>
      <c r="E405" s="964">
        <f t="shared" si="56"/>
        <v>0</v>
      </c>
      <c r="F405" s="965">
        <f>'Emission Factors'!$D$501*E405*0.001</f>
        <v>0</v>
      </c>
    </row>
    <row r="406" spans="1:15" s="667" customFormat="1" ht="24" customHeight="1" thickBot="1" x14ac:dyDescent="0.6">
      <c r="A406" s="1541" t="s">
        <v>790</v>
      </c>
      <c r="B406" s="1542"/>
      <c r="C406" s="1542"/>
      <c r="D406" s="1542"/>
      <c r="E406" s="1542"/>
      <c r="F406" s="1542"/>
      <c r="G406" s="1542"/>
      <c r="H406" s="1542"/>
      <c r="I406" s="1542"/>
      <c r="J406" s="1542"/>
      <c r="K406" s="1542"/>
      <c r="L406" s="1542"/>
      <c r="M406" s="1542"/>
      <c r="N406" s="1542"/>
      <c r="O406" s="1542"/>
    </row>
    <row r="407" spans="1:15" ht="31" x14ac:dyDescent="0.35">
      <c r="A407" s="837" t="s">
        <v>782</v>
      </c>
      <c r="B407" s="837" t="s">
        <v>784</v>
      </c>
      <c r="C407" s="837" t="s">
        <v>806</v>
      </c>
      <c r="D407" s="837" t="s">
        <v>786</v>
      </c>
      <c r="E407" s="672" t="s">
        <v>787</v>
      </c>
      <c r="F407" s="838" t="s">
        <v>561</v>
      </c>
    </row>
    <row r="408" spans="1:15" x14ac:dyDescent="0.35">
      <c r="A408" s="692"/>
      <c r="B408" s="925"/>
      <c r="C408" s="840"/>
      <c r="D408" s="973">
        <f>C408/1000</f>
        <v>0</v>
      </c>
      <c r="E408" s="964">
        <f>D408*B408</f>
        <v>0</v>
      </c>
      <c r="F408" s="965">
        <f>(E408*0.5*'Emission Factors'!$D$359)+(E408*0.5*'Emission Factors'!$D$501)*0.001</f>
        <v>0</v>
      </c>
    </row>
    <row r="409" spans="1:15" x14ac:dyDescent="0.35">
      <c r="A409" s="692"/>
      <c r="B409" s="925"/>
      <c r="C409" s="840"/>
      <c r="D409" s="973">
        <f t="shared" ref="D409:D415" si="57">C409/1000</f>
        <v>0</v>
      </c>
      <c r="E409" s="964">
        <f t="shared" ref="E409:E415" si="58">D409*B409</f>
        <v>0</v>
      </c>
      <c r="F409" s="965">
        <f>(E409*0.5*'Emission Factors'!$D$359)+(E409*0.5*'Emission Factors'!$D$501)*0.001</f>
        <v>0</v>
      </c>
    </row>
    <row r="410" spans="1:15" x14ac:dyDescent="0.35">
      <c r="A410" s="692"/>
      <c r="B410" s="925"/>
      <c r="C410" s="840"/>
      <c r="D410" s="973">
        <f t="shared" si="57"/>
        <v>0</v>
      </c>
      <c r="E410" s="964">
        <f t="shared" si="58"/>
        <v>0</v>
      </c>
      <c r="F410" s="965">
        <f>(E410*0.5*'Emission Factors'!$D$359)+(E410*0.5*'Emission Factors'!$D$501)*0.001</f>
        <v>0</v>
      </c>
    </row>
    <row r="411" spans="1:15" x14ac:dyDescent="0.35">
      <c r="A411" s="692"/>
      <c r="B411" s="925"/>
      <c r="C411" s="840"/>
      <c r="D411" s="973">
        <f t="shared" si="57"/>
        <v>0</v>
      </c>
      <c r="E411" s="964">
        <f t="shared" si="58"/>
        <v>0</v>
      </c>
      <c r="F411" s="965">
        <f>(E411*0.5*'Emission Factors'!$D$359)+(E411*0.5*'Emission Factors'!$D$501)*0.001</f>
        <v>0</v>
      </c>
    </row>
    <row r="412" spans="1:15" x14ac:dyDescent="0.35">
      <c r="A412" s="692"/>
      <c r="B412" s="925"/>
      <c r="C412" s="840"/>
      <c r="D412" s="973">
        <f t="shared" si="57"/>
        <v>0</v>
      </c>
      <c r="E412" s="964">
        <f t="shared" si="58"/>
        <v>0</v>
      </c>
      <c r="F412" s="965">
        <f>(E412*0.5*'Emission Factors'!$D$359)+(E412*0.5*'Emission Factors'!$D$501)*0.001</f>
        <v>0</v>
      </c>
    </row>
    <row r="413" spans="1:15" x14ac:dyDescent="0.35">
      <c r="A413" s="692"/>
      <c r="B413" s="925"/>
      <c r="C413" s="840"/>
      <c r="D413" s="973">
        <f t="shared" si="57"/>
        <v>0</v>
      </c>
      <c r="E413" s="964">
        <f t="shared" si="58"/>
        <v>0</v>
      </c>
      <c r="F413" s="965">
        <f>(E413*0.5*'Emission Factors'!$D$359)+(E413*0.5*'Emission Factors'!$D$501)*0.001</f>
        <v>0</v>
      </c>
    </row>
    <row r="414" spans="1:15" x14ac:dyDescent="0.35">
      <c r="A414" s="692"/>
      <c r="B414" s="925"/>
      <c r="C414" s="840"/>
      <c r="D414" s="973">
        <f t="shared" si="57"/>
        <v>0</v>
      </c>
      <c r="E414" s="964">
        <f t="shared" si="58"/>
        <v>0</v>
      </c>
      <c r="F414" s="965">
        <f>(E414*0.5*'Emission Factors'!$D$359)+(E414*0.5*'Emission Factors'!$D$501)*0.001</f>
        <v>0</v>
      </c>
    </row>
    <row r="415" spans="1:15" x14ac:dyDescent="0.35">
      <c r="A415" s="692"/>
      <c r="B415" s="925"/>
      <c r="C415" s="840"/>
      <c r="D415" s="973">
        <f t="shared" si="57"/>
        <v>0</v>
      </c>
      <c r="E415" s="964">
        <f t="shared" si="58"/>
        <v>0</v>
      </c>
      <c r="F415" s="965">
        <f>(E415*0.5*'Emission Factors'!$D$359)+(E415*0.5*'Emission Factors'!$D$501)*0.001</f>
        <v>0</v>
      </c>
    </row>
    <row r="416" spans="1:15" s="667" customFormat="1" ht="24" customHeight="1" thickBot="1" x14ac:dyDescent="0.6">
      <c r="A416" s="1541" t="s">
        <v>791</v>
      </c>
      <c r="B416" s="1542"/>
      <c r="C416" s="1542"/>
      <c r="D416" s="1542"/>
      <c r="E416" s="1542"/>
      <c r="F416" s="1542"/>
      <c r="G416" s="1542"/>
      <c r="H416" s="1542"/>
      <c r="I416" s="1542"/>
      <c r="J416" s="1542"/>
      <c r="K416" s="1542"/>
      <c r="L416" s="1542"/>
      <c r="M416" s="1542"/>
      <c r="N416" s="1542"/>
      <c r="O416" s="1542"/>
    </row>
    <row r="417" spans="1:15" ht="31" x14ac:dyDescent="0.35">
      <c r="A417" s="837" t="s">
        <v>782</v>
      </c>
      <c r="B417" s="837" t="s">
        <v>784</v>
      </c>
      <c r="C417" s="837" t="s">
        <v>806</v>
      </c>
      <c r="D417" s="837" t="s">
        <v>786</v>
      </c>
      <c r="E417" s="672" t="s">
        <v>787</v>
      </c>
      <c r="F417" s="838" t="s">
        <v>561</v>
      </c>
    </row>
    <row r="418" spans="1:15" x14ac:dyDescent="0.35">
      <c r="A418" s="692"/>
      <c r="B418" s="925"/>
      <c r="C418" s="840"/>
      <c r="D418" s="973">
        <f>C418/1000</f>
        <v>0</v>
      </c>
      <c r="E418" s="964">
        <f>D418*B418</f>
        <v>0</v>
      </c>
      <c r="F418" s="965">
        <f>(E418*0.75*'Emission Factors'!$D$359)+(E418*0.25*'Emission Factors'!$D$501)*0.001</f>
        <v>0</v>
      </c>
    </row>
    <row r="419" spans="1:15" x14ac:dyDescent="0.35">
      <c r="A419" s="692"/>
      <c r="B419" s="925"/>
      <c r="C419" s="840"/>
      <c r="D419" s="973">
        <f t="shared" ref="D419:D425" si="59">C419/1000</f>
        <v>0</v>
      </c>
      <c r="E419" s="964">
        <f t="shared" ref="E419:E425" si="60">D419*B419</f>
        <v>0</v>
      </c>
      <c r="F419" s="965">
        <f>(E419*0.75*'Emission Factors'!$D$359)+(E419*0.25*'Emission Factors'!$D$501)*0.001</f>
        <v>0</v>
      </c>
    </row>
    <row r="420" spans="1:15" x14ac:dyDescent="0.35">
      <c r="A420" s="692"/>
      <c r="B420" s="925"/>
      <c r="C420" s="840"/>
      <c r="D420" s="973">
        <f t="shared" si="59"/>
        <v>0</v>
      </c>
      <c r="E420" s="964">
        <f t="shared" si="60"/>
        <v>0</v>
      </c>
      <c r="F420" s="965">
        <f>(E420*0.75*'Emission Factors'!$D$359)+(E420*0.25*'Emission Factors'!$D$501)*0.001</f>
        <v>0</v>
      </c>
    </row>
    <row r="421" spans="1:15" x14ac:dyDescent="0.35">
      <c r="A421" s="692"/>
      <c r="B421" s="925"/>
      <c r="C421" s="840"/>
      <c r="D421" s="973">
        <f t="shared" si="59"/>
        <v>0</v>
      </c>
      <c r="E421" s="964">
        <f t="shared" si="60"/>
        <v>0</v>
      </c>
      <c r="F421" s="965">
        <f>(E421*0.75*'Emission Factors'!$D$359)+(E421*0.25*'Emission Factors'!$D$501)*0.001</f>
        <v>0</v>
      </c>
    </row>
    <row r="422" spans="1:15" x14ac:dyDescent="0.35">
      <c r="A422" s="692"/>
      <c r="B422" s="925"/>
      <c r="C422" s="840"/>
      <c r="D422" s="973">
        <f t="shared" si="59"/>
        <v>0</v>
      </c>
      <c r="E422" s="964">
        <f t="shared" si="60"/>
        <v>0</v>
      </c>
      <c r="F422" s="965">
        <f>(E422*0.75*'Emission Factors'!$D$359)+(E422*0.25*'Emission Factors'!$D$501)*0.001</f>
        <v>0</v>
      </c>
    </row>
    <row r="423" spans="1:15" x14ac:dyDescent="0.35">
      <c r="A423" s="692"/>
      <c r="B423" s="925"/>
      <c r="C423" s="840"/>
      <c r="D423" s="973">
        <f t="shared" si="59"/>
        <v>0</v>
      </c>
      <c r="E423" s="964">
        <f t="shared" si="60"/>
        <v>0</v>
      </c>
      <c r="F423" s="965">
        <f>(E423*0.75*'Emission Factors'!$D$359)+(E423*0.25*'Emission Factors'!$D$501)*0.001</f>
        <v>0</v>
      </c>
    </row>
    <row r="424" spans="1:15" x14ac:dyDescent="0.35">
      <c r="A424" s="692"/>
      <c r="B424" s="925"/>
      <c r="C424" s="840"/>
      <c r="D424" s="973">
        <f t="shared" si="59"/>
        <v>0</v>
      </c>
      <c r="E424" s="964">
        <f t="shared" si="60"/>
        <v>0</v>
      </c>
      <c r="F424" s="965">
        <f>(E424*0.75*'Emission Factors'!$D$359)+(E424*0.25*'Emission Factors'!$D$501)*0.001</f>
        <v>0</v>
      </c>
    </row>
    <row r="425" spans="1:15" x14ac:dyDescent="0.35">
      <c r="A425" s="692"/>
      <c r="B425" s="925"/>
      <c r="C425" s="840"/>
      <c r="D425" s="973">
        <f t="shared" si="59"/>
        <v>0</v>
      </c>
      <c r="E425" s="964">
        <f t="shared" si="60"/>
        <v>0</v>
      </c>
      <c r="F425" s="965">
        <f>(E425*0.75*'Emission Factors'!$D$359)+(E425*0.25*'Emission Factors'!$D$501)*0.001</f>
        <v>0</v>
      </c>
    </row>
    <row r="426" spans="1:15" s="667" customFormat="1" ht="24" customHeight="1" thickBot="1" x14ac:dyDescent="0.6">
      <c r="A426" s="1541" t="s">
        <v>792</v>
      </c>
      <c r="B426" s="1542"/>
      <c r="C426" s="1542"/>
      <c r="D426" s="1542"/>
      <c r="E426" s="1542"/>
      <c r="F426" s="1542"/>
      <c r="G426" s="1542"/>
      <c r="H426" s="1542"/>
      <c r="I426" s="1542"/>
      <c r="J426" s="1542"/>
      <c r="K426" s="1542"/>
      <c r="L426" s="1542"/>
      <c r="M426" s="1542"/>
      <c r="N426" s="1542"/>
      <c r="O426" s="1542"/>
    </row>
    <row r="427" spans="1:15" ht="31" x14ac:dyDescent="0.35">
      <c r="A427" s="837" t="s">
        <v>782</v>
      </c>
      <c r="B427" s="837" t="s">
        <v>784</v>
      </c>
      <c r="C427" s="837" t="s">
        <v>806</v>
      </c>
      <c r="D427" s="837" t="s">
        <v>786</v>
      </c>
      <c r="E427" s="672" t="s">
        <v>787</v>
      </c>
      <c r="F427" s="838" t="s">
        <v>561</v>
      </c>
    </row>
    <row r="428" spans="1:15" x14ac:dyDescent="0.35">
      <c r="A428" s="692"/>
      <c r="B428" s="925"/>
      <c r="C428" s="840"/>
      <c r="D428" s="973">
        <f>C428/1000</f>
        <v>0</v>
      </c>
      <c r="E428" s="964">
        <f>D428*B428</f>
        <v>0</v>
      </c>
      <c r="F428" s="965">
        <f>(E428*0.25*'Emission Factors'!$D$359)+(E428*0.75*'Emission Factors'!$D$465)*0.001</f>
        <v>0</v>
      </c>
    </row>
    <row r="429" spans="1:15" x14ac:dyDescent="0.35">
      <c r="A429" s="692"/>
      <c r="B429" s="925"/>
      <c r="C429" s="840"/>
      <c r="D429" s="973">
        <f t="shared" ref="D429:D435" si="61">C429/1000</f>
        <v>0</v>
      </c>
      <c r="E429" s="964">
        <f t="shared" ref="E429:E435" si="62">D429*B429</f>
        <v>0</v>
      </c>
      <c r="F429" s="965">
        <f>(E429*0.25*'Emission Factors'!$D$359)+(E429*0.75*'Emission Factors'!$D$465)*0.001</f>
        <v>0</v>
      </c>
    </row>
    <row r="430" spans="1:15" x14ac:dyDescent="0.35">
      <c r="A430" s="692"/>
      <c r="B430" s="925"/>
      <c r="C430" s="840"/>
      <c r="D430" s="973">
        <f t="shared" si="61"/>
        <v>0</v>
      </c>
      <c r="E430" s="964">
        <f t="shared" si="62"/>
        <v>0</v>
      </c>
      <c r="F430" s="965">
        <f>(E430*0.25*'Emission Factors'!$D$359)+(E430*0.75*'Emission Factors'!$D$465)*0.001</f>
        <v>0</v>
      </c>
    </row>
    <row r="431" spans="1:15" x14ac:dyDescent="0.35">
      <c r="A431" s="692"/>
      <c r="B431" s="925"/>
      <c r="C431" s="840"/>
      <c r="D431" s="973">
        <f t="shared" si="61"/>
        <v>0</v>
      </c>
      <c r="E431" s="964">
        <f t="shared" si="62"/>
        <v>0</v>
      </c>
      <c r="F431" s="965">
        <f>(E431*0.25*'Emission Factors'!$D$359)+(E431*0.75*'Emission Factors'!$D$465)*0.001</f>
        <v>0</v>
      </c>
    </row>
    <row r="432" spans="1:15" x14ac:dyDescent="0.35">
      <c r="A432" s="692"/>
      <c r="B432" s="925"/>
      <c r="C432" s="840"/>
      <c r="D432" s="973">
        <f t="shared" si="61"/>
        <v>0</v>
      </c>
      <c r="E432" s="964">
        <f t="shared" si="62"/>
        <v>0</v>
      </c>
      <c r="F432" s="965">
        <f>(E432*0.25*'Emission Factors'!$D$359)+(E432*0.75*'Emission Factors'!$D$465)*0.001</f>
        <v>0</v>
      </c>
    </row>
    <row r="433" spans="1:19" x14ac:dyDescent="0.35">
      <c r="A433" s="692"/>
      <c r="B433" s="925"/>
      <c r="C433" s="840"/>
      <c r="D433" s="973">
        <f t="shared" si="61"/>
        <v>0</v>
      </c>
      <c r="E433" s="964">
        <f t="shared" si="62"/>
        <v>0</v>
      </c>
      <c r="F433" s="965">
        <f>(E433*0.25*'Emission Factors'!$D$359)+(E433*0.75*'Emission Factors'!$D$465)*0.001</f>
        <v>0</v>
      </c>
    </row>
    <row r="434" spans="1:19" x14ac:dyDescent="0.35">
      <c r="A434" s="692"/>
      <c r="B434" s="925"/>
      <c r="C434" s="840"/>
      <c r="D434" s="973">
        <f t="shared" si="61"/>
        <v>0</v>
      </c>
      <c r="E434" s="964">
        <f t="shared" si="62"/>
        <v>0</v>
      </c>
      <c r="F434" s="965">
        <f>(E434*0.25*'Emission Factors'!$D$359)+(E434*0.75*'Emission Factors'!$D$465)*0.001</f>
        <v>0</v>
      </c>
    </row>
    <row r="435" spans="1:19" x14ac:dyDescent="0.35">
      <c r="A435" s="692"/>
      <c r="B435" s="925"/>
      <c r="C435" s="840"/>
      <c r="D435" s="973">
        <f t="shared" si="61"/>
        <v>0</v>
      </c>
      <c r="E435" s="964">
        <f t="shared" si="62"/>
        <v>0</v>
      </c>
      <c r="F435" s="965">
        <f>(E435*0.25*'Emission Factors'!$D$359)+(E435*0.75*'Emission Factors'!$D$465)*0.001</f>
        <v>0</v>
      </c>
    </row>
    <row r="436" spans="1:19" s="667" customFormat="1" ht="24" customHeight="1" thickBot="1" x14ac:dyDescent="0.6">
      <c r="A436" s="1541" t="s">
        <v>793</v>
      </c>
      <c r="B436" s="1542"/>
      <c r="C436" s="1542"/>
      <c r="D436" s="1542"/>
      <c r="E436" s="1542"/>
      <c r="F436" s="1542"/>
      <c r="G436" s="1542"/>
      <c r="H436" s="1542"/>
      <c r="I436" s="1542"/>
      <c r="J436" s="1542"/>
      <c r="K436" s="1542"/>
      <c r="L436" s="1542"/>
      <c r="M436" s="1542"/>
      <c r="N436" s="1542"/>
      <c r="O436" s="1542"/>
    </row>
    <row r="437" spans="1:19" ht="31" x14ac:dyDescent="0.35">
      <c r="A437" s="837" t="s">
        <v>782</v>
      </c>
      <c r="B437" s="837" t="s">
        <v>784</v>
      </c>
      <c r="C437" s="837" t="s">
        <v>806</v>
      </c>
      <c r="D437" s="837" t="s">
        <v>786</v>
      </c>
      <c r="E437" s="672" t="s">
        <v>787</v>
      </c>
      <c r="F437" s="838" t="s">
        <v>561</v>
      </c>
    </row>
    <row r="438" spans="1:19" x14ac:dyDescent="0.35">
      <c r="A438" s="692"/>
      <c r="B438" s="925"/>
      <c r="C438" s="840"/>
      <c r="D438" s="973">
        <f>C438/1000</f>
        <v>0</v>
      </c>
      <c r="E438" s="964">
        <f>D438*B438</f>
        <v>0</v>
      </c>
      <c r="F438" s="965">
        <f>(E438*0.25*'Emission Factors'!$D$501)+(E438*0.75*'Emission Factors'!$D$465)*0.001</f>
        <v>0</v>
      </c>
    </row>
    <row r="439" spans="1:19" x14ac:dyDescent="0.35">
      <c r="A439" s="692"/>
      <c r="B439" s="925"/>
      <c r="C439" s="840"/>
      <c r="D439" s="973">
        <f t="shared" ref="D439:D445" si="63">C439/1000</f>
        <v>0</v>
      </c>
      <c r="E439" s="964">
        <f t="shared" ref="E439:E445" si="64">D439*B439</f>
        <v>0</v>
      </c>
      <c r="F439" s="965">
        <f>(E439*0.25*'Emission Factors'!$D$501)+(E439*0.75*'Emission Factors'!$D$465)*0.001</f>
        <v>0</v>
      </c>
    </row>
    <row r="440" spans="1:19" x14ac:dyDescent="0.35">
      <c r="A440" s="692"/>
      <c r="B440" s="925"/>
      <c r="C440" s="840"/>
      <c r="D440" s="973">
        <f t="shared" si="63"/>
        <v>0</v>
      </c>
      <c r="E440" s="964">
        <f t="shared" si="64"/>
        <v>0</v>
      </c>
      <c r="F440" s="965">
        <f>(E440*0.25*'Emission Factors'!$D$501)+(E440*0.75*'Emission Factors'!$D$465)*0.001</f>
        <v>0</v>
      </c>
    </row>
    <row r="441" spans="1:19" x14ac:dyDescent="0.35">
      <c r="A441" s="692"/>
      <c r="B441" s="925"/>
      <c r="C441" s="840"/>
      <c r="D441" s="973">
        <f t="shared" si="63"/>
        <v>0</v>
      </c>
      <c r="E441" s="964">
        <f t="shared" si="64"/>
        <v>0</v>
      </c>
      <c r="F441" s="965">
        <f>(E441*0.25*'Emission Factors'!$D$501)+(E441*0.75*'Emission Factors'!$D$465)*0.001</f>
        <v>0</v>
      </c>
    </row>
    <row r="442" spans="1:19" x14ac:dyDescent="0.35">
      <c r="A442" s="692"/>
      <c r="B442" s="925"/>
      <c r="C442" s="840"/>
      <c r="D442" s="973">
        <f t="shared" si="63"/>
        <v>0</v>
      </c>
      <c r="E442" s="964">
        <f t="shared" si="64"/>
        <v>0</v>
      </c>
      <c r="F442" s="965">
        <f>(E442*0.25*'Emission Factors'!$D$501)+(E442*0.75*'Emission Factors'!$D$465)*0.001</f>
        <v>0</v>
      </c>
    </row>
    <row r="443" spans="1:19" x14ac:dyDescent="0.35">
      <c r="A443" s="692"/>
      <c r="B443" s="925"/>
      <c r="C443" s="840"/>
      <c r="D443" s="973">
        <f t="shared" si="63"/>
        <v>0</v>
      </c>
      <c r="E443" s="964">
        <f t="shared" si="64"/>
        <v>0</v>
      </c>
      <c r="F443" s="965">
        <f>(E443*0.25*'Emission Factors'!$D$501)+(E443*0.75*'Emission Factors'!$D$465)*0.001</f>
        <v>0</v>
      </c>
    </row>
    <row r="444" spans="1:19" x14ac:dyDescent="0.35">
      <c r="A444" s="692"/>
      <c r="B444" s="925"/>
      <c r="C444" s="840"/>
      <c r="D444" s="973">
        <f t="shared" si="63"/>
        <v>0</v>
      </c>
      <c r="E444" s="964">
        <f t="shared" si="64"/>
        <v>0</v>
      </c>
      <c r="F444" s="965">
        <f>(E444*0.25*'Emission Factors'!$D$501)+(E444*0.75*'Emission Factors'!$D$465)*0.001</f>
        <v>0</v>
      </c>
    </row>
    <row r="445" spans="1:19" x14ac:dyDescent="0.35">
      <c r="A445" s="692"/>
      <c r="B445" s="925"/>
      <c r="C445" s="840"/>
      <c r="D445" s="973">
        <f t="shared" si="63"/>
        <v>0</v>
      </c>
      <c r="E445" s="964">
        <f t="shared" si="64"/>
        <v>0</v>
      </c>
      <c r="F445" s="965">
        <f>(E445*0.25*'Emission Factors'!$D$501)+(E445*0.75*'Emission Factors'!$D$465)*0.001</f>
        <v>0</v>
      </c>
    </row>
    <row r="448" spans="1:19" ht="31" x14ac:dyDescent="0.7">
      <c r="A448" s="1498" t="s">
        <v>685</v>
      </c>
      <c r="B448" s="1543"/>
      <c r="C448" s="1543"/>
      <c r="D448" s="1543"/>
      <c r="E448" s="1543"/>
      <c r="F448" s="1543"/>
      <c r="G448" s="1543"/>
      <c r="H448" s="1543"/>
      <c r="I448" s="1543"/>
      <c r="J448" s="1543"/>
      <c r="K448" s="1543"/>
      <c r="L448" s="1543"/>
      <c r="M448" s="1543"/>
      <c r="N448" s="1543"/>
      <c r="O448" s="1543"/>
      <c r="P448" s="1543"/>
      <c r="Q448" s="1543"/>
      <c r="R448" s="1543"/>
      <c r="S448" s="1543"/>
    </row>
    <row r="449" spans="1:18" ht="18.5" x14ac:dyDescent="0.45">
      <c r="A449" s="712" t="s">
        <v>809</v>
      </c>
    </row>
    <row r="451" spans="1:18" ht="41.5" customHeight="1" x14ac:dyDescent="0.35">
      <c r="B451" s="615" t="s">
        <v>382</v>
      </c>
      <c r="C451" s="615" t="s">
        <v>383</v>
      </c>
      <c r="M451" s="635"/>
      <c r="N451" s="635"/>
      <c r="O451" s="635"/>
      <c r="P451" s="597"/>
      <c r="Q451" s="635"/>
      <c r="R451" s="597"/>
    </row>
    <row r="452" spans="1:18" ht="44.5" customHeight="1" x14ac:dyDescent="0.35">
      <c r="A452" s="662"/>
      <c r="B452" s="615" t="s">
        <v>324</v>
      </c>
      <c r="C452" s="615" t="s">
        <v>324</v>
      </c>
    </row>
    <row r="453" spans="1:18" ht="18.5" x14ac:dyDescent="0.35">
      <c r="A453" s="615" t="s">
        <v>44</v>
      </c>
      <c r="B453" s="663">
        <f>SUM(G473,F488,H504)</f>
        <v>0</v>
      </c>
      <c r="C453" s="663">
        <f>SUM(H473,G488,I504)</f>
        <v>0</v>
      </c>
    </row>
    <row r="454" spans="1:18" ht="18.5" x14ac:dyDescent="0.35">
      <c r="A454" s="615" t="s">
        <v>45</v>
      </c>
      <c r="B454" s="663">
        <f>SUM(H520,H535)</f>
        <v>0</v>
      </c>
      <c r="C454" s="663">
        <f>SUM(I520,I535)</f>
        <v>0</v>
      </c>
    </row>
    <row r="455" spans="1:18" ht="19.5" customHeight="1" x14ac:dyDescent="0.35">
      <c r="A455" s="615" t="s">
        <v>46</v>
      </c>
      <c r="B455" s="663">
        <f>SUM(H551,H565)</f>
        <v>0</v>
      </c>
      <c r="C455" s="663">
        <f>SUM(I551,I565)</f>
        <v>0</v>
      </c>
    </row>
    <row r="456" spans="1:18" ht="18.5" x14ac:dyDescent="0.35">
      <c r="A456" s="615" t="s">
        <v>327</v>
      </c>
      <c r="B456" s="623">
        <f>SUM(B453:B455)</f>
        <v>0</v>
      </c>
      <c r="C456" s="623">
        <f>SUM(C453:C455)</f>
        <v>0</v>
      </c>
    </row>
    <row r="457" spans="1:18" x14ac:dyDescent="0.35">
      <c r="B457" s="656"/>
      <c r="M457" s="635"/>
      <c r="N457" s="635"/>
      <c r="O457" s="635"/>
      <c r="P457" s="597"/>
      <c r="Q457" s="635"/>
      <c r="R457" s="597"/>
    </row>
    <row r="458" spans="1:18" x14ac:dyDescent="0.35">
      <c r="B458" s="656"/>
      <c r="M458" s="635"/>
      <c r="N458" s="635"/>
      <c r="O458" s="635"/>
      <c r="P458" s="597"/>
      <c r="Q458" s="635"/>
      <c r="R458" s="597"/>
    </row>
    <row r="459" spans="1:18" ht="36" x14ac:dyDescent="0.8">
      <c r="A459" s="1539" t="s">
        <v>44</v>
      </c>
      <c r="B459" s="1540"/>
      <c r="C459" s="1540"/>
      <c r="D459" s="1540"/>
      <c r="E459" s="1540"/>
      <c r="F459" s="1540"/>
      <c r="G459" s="1540"/>
      <c r="H459" s="1540"/>
      <c r="I459" s="1540"/>
      <c r="N459" s="635"/>
      <c r="O459" s="635"/>
    </row>
    <row r="460" spans="1:18" s="667" customFormat="1" ht="24" thickBot="1" x14ac:dyDescent="0.6">
      <c r="A460" s="1474" t="s">
        <v>387</v>
      </c>
      <c r="B460" s="1475"/>
      <c r="C460" s="1476"/>
      <c r="D460" s="1461" t="s">
        <v>330</v>
      </c>
      <c r="E460" s="1462"/>
      <c r="F460" s="665"/>
      <c r="G460" s="666"/>
      <c r="H460" s="666"/>
      <c r="L460" s="617"/>
      <c r="M460" s="617"/>
      <c r="N460" s="617"/>
      <c r="O460" s="617"/>
    </row>
    <row r="461" spans="1:18" s="668" customFormat="1" ht="23.5" x14ac:dyDescent="0.45">
      <c r="G461" s="669" t="s">
        <v>39</v>
      </c>
      <c r="H461" s="670" t="s">
        <v>68</v>
      </c>
      <c r="I461" s="691"/>
    </row>
    <row r="462" spans="1:18" s="668" customFormat="1" ht="70.5" customHeight="1" x14ac:dyDescent="0.45">
      <c r="A462" s="672" t="s">
        <v>331</v>
      </c>
      <c r="B462" s="672" t="s">
        <v>388</v>
      </c>
      <c r="C462" s="672" t="s">
        <v>389</v>
      </c>
      <c r="D462" s="672" t="s">
        <v>1696</v>
      </c>
      <c r="E462" s="672" t="s">
        <v>1697</v>
      </c>
      <c r="F462" s="718" t="s">
        <v>1698</v>
      </c>
      <c r="G462" s="673" t="s">
        <v>1696</v>
      </c>
      <c r="H462" s="674" t="s">
        <v>1696</v>
      </c>
    </row>
    <row r="463" spans="1:18" ht="18.5" x14ac:dyDescent="0.45">
      <c r="A463" s="698"/>
      <c r="B463" s="676"/>
      <c r="C463" s="677">
        <f>B463*0.0036</f>
        <v>0</v>
      </c>
      <c r="D463" s="677">
        <f>C463*'Emission Factors'!$C$22*0.001</f>
        <v>0</v>
      </c>
      <c r="E463" s="677">
        <f>C463*'Emission Factors'!$D$22*0.001</f>
        <v>0</v>
      </c>
      <c r="F463" s="677">
        <f>C463*'Emission Factors'!$E$22*0.001</f>
        <v>0</v>
      </c>
      <c r="G463" s="678">
        <f>D463+E463+F463</f>
        <v>0</v>
      </c>
      <c r="H463" s="679">
        <f>C463*AVERAGE('Emission Factors'!$B$42:$C$46)*0.001</f>
        <v>0</v>
      </c>
      <c r="I463" s="668"/>
    </row>
    <row r="464" spans="1:18" ht="15.65" customHeight="1" x14ac:dyDescent="0.35">
      <c r="A464" s="698"/>
      <c r="B464" s="676"/>
      <c r="C464" s="677">
        <f t="shared" ref="C464:C472" si="65">B464*0.0036</f>
        <v>0</v>
      </c>
      <c r="D464" s="677">
        <f>C464*'Emission Factors'!$C$22*0.001</f>
        <v>0</v>
      </c>
      <c r="E464" s="677">
        <f>C464*'Emission Factors'!$D$22*0.001</f>
        <v>0</v>
      </c>
      <c r="F464" s="677">
        <f>C464*'Emission Factors'!$E$22*0.001</f>
        <v>0</v>
      </c>
      <c r="G464" s="678">
        <f t="shared" ref="G464:G472" si="66">D464+E464+F464</f>
        <v>0</v>
      </c>
      <c r="H464" s="679">
        <f>C464*AVERAGE('Emission Factors'!$B$42:$C$46)*0.001</f>
        <v>0</v>
      </c>
    </row>
    <row r="465" spans="1:15" x14ac:dyDescent="0.35">
      <c r="A465" s="698"/>
      <c r="B465" s="676"/>
      <c r="C465" s="677">
        <f t="shared" si="65"/>
        <v>0</v>
      </c>
      <c r="D465" s="677">
        <f>C465*'Emission Factors'!$C$22*0.001</f>
        <v>0</v>
      </c>
      <c r="E465" s="677">
        <f>C465*'Emission Factors'!$D$22*0.001</f>
        <v>0</v>
      </c>
      <c r="F465" s="677">
        <f>C465*'Emission Factors'!$E$22*0.001</f>
        <v>0</v>
      </c>
      <c r="G465" s="678">
        <f t="shared" si="66"/>
        <v>0</v>
      </c>
      <c r="H465" s="679">
        <f>C465*AVERAGE('Emission Factors'!$B$42:$C$46)*0.001</f>
        <v>0</v>
      </c>
    </row>
    <row r="466" spans="1:15" x14ac:dyDescent="0.35">
      <c r="A466" s="698"/>
      <c r="B466" s="676"/>
      <c r="C466" s="677">
        <f t="shared" si="65"/>
        <v>0</v>
      </c>
      <c r="D466" s="677">
        <f>C466*'Emission Factors'!$C$22*0.001</f>
        <v>0</v>
      </c>
      <c r="E466" s="677">
        <f>C466*'Emission Factors'!$D$22*0.001</f>
        <v>0</v>
      </c>
      <c r="F466" s="677">
        <f>C466*'Emission Factors'!$E$22*0.001</f>
        <v>0</v>
      </c>
      <c r="G466" s="678">
        <f t="shared" si="66"/>
        <v>0</v>
      </c>
      <c r="H466" s="679">
        <f>C466*AVERAGE('Emission Factors'!$B$42:$C$46)*0.001</f>
        <v>0</v>
      </c>
    </row>
    <row r="467" spans="1:15" x14ac:dyDescent="0.35">
      <c r="A467" s="698"/>
      <c r="B467" s="676"/>
      <c r="C467" s="677">
        <f t="shared" si="65"/>
        <v>0</v>
      </c>
      <c r="D467" s="677">
        <f>C467*'Emission Factors'!$C$22*0.001</f>
        <v>0</v>
      </c>
      <c r="E467" s="677">
        <f>C467*'Emission Factors'!$D$22*0.001</f>
        <v>0</v>
      </c>
      <c r="F467" s="677">
        <f>C467*'Emission Factors'!$E$22*0.001</f>
        <v>0</v>
      </c>
      <c r="G467" s="678">
        <f t="shared" si="66"/>
        <v>0</v>
      </c>
      <c r="H467" s="679">
        <f>C467*AVERAGE('Emission Factors'!$B$42:$C$46)*0.001</f>
        <v>0</v>
      </c>
    </row>
    <row r="468" spans="1:15" x14ac:dyDescent="0.35">
      <c r="A468" s="698"/>
      <c r="B468" s="676"/>
      <c r="C468" s="677">
        <f t="shared" si="65"/>
        <v>0</v>
      </c>
      <c r="D468" s="677">
        <f>C468*'Emission Factors'!$C$22*0.001</f>
        <v>0</v>
      </c>
      <c r="E468" s="677">
        <f>C468*'Emission Factors'!$D$22*0.001</f>
        <v>0</v>
      </c>
      <c r="F468" s="677">
        <f>C468*'Emission Factors'!$E$22*0.001</f>
        <v>0</v>
      </c>
      <c r="G468" s="678">
        <f t="shared" si="66"/>
        <v>0</v>
      </c>
      <c r="H468" s="679">
        <f>C468*AVERAGE('Emission Factors'!$B$42:$C$46)*0.001</f>
        <v>0</v>
      </c>
    </row>
    <row r="469" spans="1:15" ht="15.65" customHeight="1" x14ac:dyDescent="0.35">
      <c r="A469" s="698"/>
      <c r="B469" s="676"/>
      <c r="C469" s="677">
        <f t="shared" si="65"/>
        <v>0</v>
      </c>
      <c r="D469" s="677">
        <f>C469*'Emission Factors'!$C$22*0.001</f>
        <v>0</v>
      </c>
      <c r="E469" s="677">
        <f>C469*'Emission Factors'!$D$22*0.001</f>
        <v>0</v>
      </c>
      <c r="F469" s="677">
        <f>C469*'Emission Factors'!$E$22*0.001</f>
        <v>0</v>
      </c>
      <c r="G469" s="678">
        <f t="shared" si="66"/>
        <v>0</v>
      </c>
      <c r="H469" s="679">
        <f>C469*AVERAGE('Emission Factors'!$B$42:$C$46)*0.001</f>
        <v>0</v>
      </c>
    </row>
    <row r="470" spans="1:15" x14ac:dyDescent="0.35">
      <c r="A470" s="698"/>
      <c r="B470" s="676"/>
      <c r="C470" s="677">
        <f t="shared" si="65"/>
        <v>0</v>
      </c>
      <c r="D470" s="677">
        <f>C470*'Emission Factors'!$C$22*0.001</f>
        <v>0</v>
      </c>
      <c r="E470" s="677">
        <f>C470*'Emission Factors'!$D$22*0.001</f>
        <v>0</v>
      </c>
      <c r="F470" s="677">
        <f>C470*'Emission Factors'!$E$22*0.001</f>
        <v>0</v>
      </c>
      <c r="G470" s="678">
        <f t="shared" si="66"/>
        <v>0</v>
      </c>
      <c r="H470" s="679">
        <f>C470*AVERAGE('Emission Factors'!$B$42:$C$46)*0.001</f>
        <v>0</v>
      </c>
    </row>
    <row r="471" spans="1:15" x14ac:dyDescent="0.35">
      <c r="A471" s="698"/>
      <c r="B471" s="676"/>
      <c r="C471" s="677">
        <f t="shared" si="65"/>
        <v>0</v>
      </c>
      <c r="D471" s="677">
        <f>C471*'Emission Factors'!$C$22*0.001</f>
        <v>0</v>
      </c>
      <c r="E471" s="677">
        <f>C471*'Emission Factors'!$D$22*0.001</f>
        <v>0</v>
      </c>
      <c r="F471" s="677">
        <f>C471*'Emission Factors'!$E$22*0.001</f>
        <v>0</v>
      </c>
      <c r="G471" s="678">
        <f t="shared" si="66"/>
        <v>0</v>
      </c>
      <c r="H471" s="679">
        <f>C471*AVERAGE('Emission Factors'!$B$42:$C$46)*0.001</f>
        <v>0</v>
      </c>
    </row>
    <row r="472" spans="1:15" ht="16" thickBot="1" x14ac:dyDescent="0.4">
      <c r="A472" s="698"/>
      <c r="B472" s="676"/>
      <c r="C472" s="677">
        <f t="shared" si="65"/>
        <v>0</v>
      </c>
      <c r="D472" s="677">
        <f>C472*'Emission Factors'!$C$22*0.001</f>
        <v>0</v>
      </c>
      <c r="E472" s="677">
        <f>C472*'Emission Factors'!$D$22*0.001</f>
        <v>0</v>
      </c>
      <c r="F472" s="677">
        <f>C472*'Emission Factors'!$E$22*0.001</f>
        <v>0</v>
      </c>
      <c r="G472" s="678">
        <f t="shared" si="66"/>
        <v>0</v>
      </c>
      <c r="H472" s="679">
        <f>C472*AVERAGE('Emission Factors'!$B$42:$C$46)*0.001</f>
        <v>0</v>
      </c>
    </row>
    <row r="473" spans="1:15" ht="16" thickBot="1" x14ac:dyDescent="0.4">
      <c r="A473" s="693" t="s">
        <v>390</v>
      </c>
      <c r="F473" s="684" t="s">
        <v>1699</v>
      </c>
      <c r="G473" s="685">
        <f>SUM(G463:G472)</f>
        <v>0</v>
      </c>
      <c r="H473" s="686">
        <f>SUM(H463:H472)</f>
        <v>0</v>
      </c>
    </row>
    <row r="474" spans="1:15" s="667" customFormat="1" ht="23.5" x14ac:dyDescent="0.55000000000000004">
      <c r="A474" s="682" t="s">
        <v>335</v>
      </c>
      <c r="B474" s="683"/>
      <c r="C474" s="683"/>
      <c r="D474" s="683"/>
      <c r="E474" s="666"/>
      <c r="F474" s="683"/>
      <c r="G474" s="666"/>
      <c r="H474" s="666"/>
      <c r="L474" s="666"/>
      <c r="M474" s="666"/>
      <c r="N474" s="666"/>
      <c r="O474" s="666"/>
    </row>
    <row r="475" spans="1:15" s="667" customFormat="1" ht="24" thickBot="1" x14ac:dyDescent="0.6">
      <c r="A475" s="1474" t="s">
        <v>391</v>
      </c>
      <c r="B475" s="1475"/>
      <c r="C475" s="1476"/>
      <c r="D475" s="1461" t="s">
        <v>330</v>
      </c>
      <c r="E475" s="1462"/>
      <c r="F475" s="665"/>
      <c r="G475" s="666"/>
      <c r="H475" s="666"/>
      <c r="I475" s="691"/>
      <c r="L475" s="666"/>
      <c r="M475" s="666"/>
      <c r="N475" s="666"/>
      <c r="O475" s="691"/>
    </row>
    <row r="476" spans="1:15" ht="18.5" x14ac:dyDescent="0.45">
      <c r="C476" s="668"/>
      <c r="D476" s="668"/>
      <c r="E476" s="668"/>
      <c r="F476" s="669" t="s">
        <v>39</v>
      </c>
      <c r="G476" s="670" t="s">
        <v>68</v>
      </c>
      <c r="H476" s="668"/>
    </row>
    <row r="477" spans="1:15" ht="76.5" customHeight="1" x14ac:dyDescent="0.45">
      <c r="A477" s="672" t="s">
        <v>331</v>
      </c>
      <c r="B477" s="672" t="s">
        <v>392</v>
      </c>
      <c r="C477" s="672" t="s">
        <v>1696</v>
      </c>
      <c r="D477" s="672" t="s">
        <v>1697</v>
      </c>
      <c r="E477" s="718" t="s">
        <v>1698</v>
      </c>
      <c r="F477" s="673" t="s">
        <v>1696</v>
      </c>
      <c r="G477" s="674" t="s">
        <v>1696</v>
      </c>
      <c r="H477" s="668"/>
    </row>
    <row r="478" spans="1:15" x14ac:dyDescent="0.35">
      <c r="A478" s="698"/>
      <c r="B478" s="676"/>
      <c r="C478" s="677">
        <f>B478*'Emission Factors'!$C$22*0.001</f>
        <v>0</v>
      </c>
      <c r="D478" s="677">
        <f>B478*'Emission Factors'!$D$22*0.001</f>
        <v>0</v>
      </c>
      <c r="E478" s="677">
        <f>B478*'Emission Factors'!$E$22*0.001</f>
        <v>0</v>
      </c>
      <c r="F478" s="678">
        <f>C478+D478+E478</f>
        <v>0</v>
      </c>
      <c r="G478" s="679">
        <f>B478*AVERAGE('Emission Factors'!$B$42:$C$46)*0.001</f>
        <v>0</v>
      </c>
    </row>
    <row r="479" spans="1:15" x14ac:dyDescent="0.35">
      <c r="A479" s="698"/>
      <c r="B479" s="676"/>
      <c r="C479" s="677">
        <f>B479*'Emission Factors'!$C$22*0.001</f>
        <v>0</v>
      </c>
      <c r="D479" s="677">
        <f>C479*'Emission Factors'!$D$22*0.001</f>
        <v>0</v>
      </c>
      <c r="E479" s="677">
        <f>D479*'Emission Factors'!$E$22*0.001</f>
        <v>0</v>
      </c>
      <c r="F479" s="678">
        <f t="shared" ref="F479:F487" si="67">C479+D479+E479</f>
        <v>0</v>
      </c>
      <c r="G479" s="679">
        <f>B479*AVERAGE('Emission Factors'!$B$42:$C$46)*0.001</f>
        <v>0</v>
      </c>
    </row>
    <row r="480" spans="1:15" x14ac:dyDescent="0.35">
      <c r="A480" s="698"/>
      <c r="B480" s="676"/>
      <c r="C480" s="677">
        <f>B480*'Emission Factors'!$C$22*0.001</f>
        <v>0</v>
      </c>
      <c r="D480" s="677">
        <f>C480*'Emission Factors'!$D$22*0.001</f>
        <v>0</v>
      </c>
      <c r="E480" s="677">
        <f>D480*'Emission Factors'!$E$22*0.001</f>
        <v>0</v>
      </c>
      <c r="F480" s="678">
        <f t="shared" si="67"/>
        <v>0</v>
      </c>
      <c r="G480" s="679">
        <f>B480*AVERAGE('Emission Factors'!$B$42:$C$46)*0.001</f>
        <v>0</v>
      </c>
    </row>
    <row r="481" spans="1:22" x14ac:dyDescent="0.35">
      <c r="A481" s="698"/>
      <c r="B481" s="676"/>
      <c r="C481" s="677">
        <f>B481*'Emission Factors'!$C$22*0.001</f>
        <v>0</v>
      </c>
      <c r="D481" s="677">
        <f>C481*'Emission Factors'!$D$22*0.001</f>
        <v>0</v>
      </c>
      <c r="E481" s="677">
        <f>D481*'Emission Factors'!$E$22*0.001</f>
        <v>0</v>
      </c>
      <c r="F481" s="678">
        <f t="shared" si="67"/>
        <v>0</v>
      </c>
      <c r="G481" s="679">
        <f>B481*AVERAGE('Emission Factors'!$B$42:$C$46)*0.001</f>
        <v>0</v>
      </c>
    </row>
    <row r="482" spans="1:22" x14ac:dyDescent="0.35">
      <c r="A482" s="698"/>
      <c r="B482" s="676"/>
      <c r="C482" s="677">
        <f>B482*'Emission Factors'!$C$22*0.001</f>
        <v>0</v>
      </c>
      <c r="D482" s="677">
        <f>C482*'Emission Factors'!$D$22*0.001</f>
        <v>0</v>
      </c>
      <c r="E482" s="677">
        <f>D482*'Emission Factors'!$E$22*0.001</f>
        <v>0</v>
      </c>
      <c r="F482" s="678">
        <f t="shared" si="67"/>
        <v>0</v>
      </c>
      <c r="G482" s="679">
        <f>B482*AVERAGE('Emission Factors'!$B$42:$C$46)*0.001</f>
        <v>0</v>
      </c>
    </row>
    <row r="483" spans="1:22" x14ac:dyDescent="0.35">
      <c r="A483" s="698"/>
      <c r="B483" s="676"/>
      <c r="C483" s="677">
        <f>B483*'Emission Factors'!$C$22*0.001</f>
        <v>0</v>
      </c>
      <c r="D483" s="677">
        <f>C483*'Emission Factors'!$D$22*0.001</f>
        <v>0</v>
      </c>
      <c r="E483" s="677">
        <f>D483*'Emission Factors'!$E$22*0.001</f>
        <v>0</v>
      </c>
      <c r="F483" s="678">
        <f t="shared" si="67"/>
        <v>0</v>
      </c>
      <c r="G483" s="679">
        <f>B483*AVERAGE('Emission Factors'!$B$42:$C$46)*0.001</f>
        <v>0</v>
      </c>
    </row>
    <row r="484" spans="1:22" x14ac:dyDescent="0.35">
      <c r="A484" s="698"/>
      <c r="B484" s="676"/>
      <c r="C484" s="677">
        <f>B484*'Emission Factors'!$C$22*0.001</f>
        <v>0</v>
      </c>
      <c r="D484" s="677">
        <f>C484*'Emission Factors'!$D$22*0.001</f>
        <v>0</v>
      </c>
      <c r="E484" s="677">
        <f>D484*'Emission Factors'!$E$22*0.001</f>
        <v>0</v>
      </c>
      <c r="F484" s="678">
        <f t="shared" si="67"/>
        <v>0</v>
      </c>
      <c r="G484" s="679">
        <f>B484*AVERAGE('Emission Factors'!$B$42:$C$46)*0.001</f>
        <v>0</v>
      </c>
    </row>
    <row r="485" spans="1:22" x14ac:dyDescent="0.35">
      <c r="A485" s="698"/>
      <c r="B485" s="676"/>
      <c r="C485" s="677">
        <f>B485*'Emission Factors'!$C$22*0.001</f>
        <v>0</v>
      </c>
      <c r="D485" s="677">
        <f>C485*'Emission Factors'!$D$22*0.001</f>
        <v>0</v>
      </c>
      <c r="E485" s="677">
        <f>D485*'Emission Factors'!$E$22*0.001</f>
        <v>0</v>
      </c>
      <c r="F485" s="678">
        <f t="shared" si="67"/>
        <v>0</v>
      </c>
      <c r="G485" s="679">
        <f>B485*AVERAGE('Emission Factors'!$B$42:$C$46)*0.001</f>
        <v>0</v>
      </c>
    </row>
    <row r="486" spans="1:22" x14ac:dyDescent="0.35">
      <c r="A486" s="698"/>
      <c r="B486" s="676"/>
      <c r="C486" s="677">
        <f>B486*'Emission Factors'!$C$22*0.001</f>
        <v>0</v>
      </c>
      <c r="D486" s="677">
        <f>C486*'Emission Factors'!$D$22*0.001</f>
        <v>0</v>
      </c>
      <c r="E486" s="677">
        <f>D486*'Emission Factors'!$E$22*0.001</f>
        <v>0</v>
      </c>
      <c r="F486" s="678">
        <f t="shared" si="67"/>
        <v>0</v>
      </c>
      <c r="G486" s="679">
        <f>B486*AVERAGE('Emission Factors'!$B$42:$C$46)*0.001</f>
        <v>0</v>
      </c>
    </row>
    <row r="487" spans="1:22" ht="16" thickBot="1" x14ac:dyDescent="0.4">
      <c r="A487" s="698"/>
      <c r="B487" s="676"/>
      <c r="C487" s="677">
        <f>B487*'Emission Factors'!$C$22*0.001</f>
        <v>0</v>
      </c>
      <c r="D487" s="677">
        <f>C487*'Emission Factors'!$D$22*0.001</f>
        <v>0</v>
      </c>
      <c r="E487" s="677">
        <f>D487*'Emission Factors'!$E$22*0.001</f>
        <v>0</v>
      </c>
      <c r="F487" s="678">
        <f t="shared" si="67"/>
        <v>0</v>
      </c>
      <c r="G487" s="679">
        <f>B487*AVERAGE('Emission Factors'!$B$42:$C$46)*0.001</f>
        <v>0</v>
      </c>
    </row>
    <row r="488" spans="1:22" ht="16" thickBot="1" x14ac:dyDescent="0.4">
      <c r="A488" s="693" t="s">
        <v>390</v>
      </c>
      <c r="E488" s="684" t="s">
        <v>1699</v>
      </c>
      <c r="F488" s="685">
        <f>SUM(F478:F487)</f>
        <v>0</v>
      </c>
      <c r="G488" s="686">
        <f>SUM(G478:G487)</f>
        <v>0</v>
      </c>
      <c r="K488" s="719"/>
      <c r="L488" s="719"/>
      <c r="M488" s="719"/>
      <c r="N488" s="719"/>
    </row>
    <row r="489" spans="1:22" ht="23.5" x14ac:dyDescent="0.35">
      <c r="A489" s="699" t="s">
        <v>393</v>
      </c>
      <c r="B489" s="700" t="s">
        <v>360</v>
      </c>
      <c r="C489" s="683"/>
      <c r="D489" s="666"/>
      <c r="E489" s="683"/>
      <c r="F489" s="666"/>
      <c r="G489" s="666"/>
      <c r="H489" s="666"/>
      <c r="L489" s="666"/>
      <c r="M489" s="666"/>
      <c r="N489" s="666"/>
      <c r="O489" s="666"/>
    </row>
    <row r="490" spans="1:22" s="667" customFormat="1" ht="23.5" x14ac:dyDescent="0.55000000000000004">
      <c r="A490" s="682" t="s">
        <v>335</v>
      </c>
      <c r="B490" s="683"/>
      <c r="C490" s="683"/>
      <c r="D490" s="683"/>
      <c r="E490" s="666"/>
      <c r="F490" s="683"/>
      <c r="G490" s="666"/>
      <c r="H490" s="666"/>
    </row>
    <row r="491" spans="1:22" s="667" customFormat="1" ht="24" customHeight="1" thickBot="1" x14ac:dyDescent="0.6">
      <c r="A491" s="1474" t="s">
        <v>1760</v>
      </c>
      <c r="B491" s="1475"/>
      <c r="C491" s="1476"/>
      <c r="D491" s="1461" t="s">
        <v>330</v>
      </c>
      <c r="E491" s="1462"/>
      <c r="F491" s="665"/>
      <c r="G491" s="666"/>
      <c r="H491" s="666"/>
      <c r="S491" s="617"/>
      <c r="T491" s="617"/>
      <c r="U491" s="617"/>
      <c r="V491" s="617"/>
    </row>
    <row r="492" spans="1:22" ht="23.5" x14ac:dyDescent="0.45">
      <c r="D492" s="668"/>
      <c r="E492" s="668"/>
      <c r="F492" s="668"/>
      <c r="G492" s="668"/>
      <c r="H492" s="669" t="s">
        <v>39</v>
      </c>
      <c r="I492" s="670" t="s">
        <v>68</v>
      </c>
      <c r="J492" s="668"/>
      <c r="K492" s="668"/>
      <c r="L492" s="668"/>
      <c r="M492" s="668"/>
      <c r="N492" s="666"/>
    </row>
    <row r="493" spans="1:22" ht="78" customHeight="1" x14ac:dyDescent="0.45">
      <c r="A493" s="720" t="s">
        <v>331</v>
      </c>
      <c r="B493" s="720" t="s">
        <v>1763</v>
      </c>
      <c r="C493" s="672" t="s">
        <v>388</v>
      </c>
      <c r="D493" s="672" t="s">
        <v>389</v>
      </c>
      <c r="E493" s="672" t="s">
        <v>1696</v>
      </c>
      <c r="F493" s="672" t="s">
        <v>1697</v>
      </c>
      <c r="G493" s="718" t="s">
        <v>1698</v>
      </c>
      <c r="H493" s="673" t="s">
        <v>1696</v>
      </c>
      <c r="I493" s="674" t="s">
        <v>1696</v>
      </c>
      <c r="J493" s="668"/>
      <c r="K493" s="668"/>
      <c r="L493" s="668"/>
      <c r="M493" s="668"/>
      <c r="N493" s="668"/>
    </row>
    <row r="494" spans="1:22" ht="18.5" x14ac:dyDescent="0.45">
      <c r="A494" s="675"/>
      <c r="B494" s="675"/>
      <c r="C494" s="677">
        <f>B494/0.113</f>
        <v>0</v>
      </c>
      <c r="D494" s="677">
        <f>C494*0.0036</f>
        <v>0</v>
      </c>
      <c r="E494" s="677">
        <f>D494*'Emission Factors'!$C$22*0.001</f>
        <v>0</v>
      </c>
      <c r="F494" s="677">
        <f>D494*'Emission Factors'!$D$22*0.001</f>
        <v>0</v>
      </c>
      <c r="G494" s="677">
        <f>D494*'Emission Factors'!$E$22*0.001</f>
        <v>0</v>
      </c>
      <c r="H494" s="678">
        <f>E494+F494+G494</f>
        <v>0</v>
      </c>
      <c r="I494" s="679">
        <f>D494*AVERAGE('Emission Factors'!$B$42:$C$46)*0.001</f>
        <v>0</v>
      </c>
      <c r="N494" s="668"/>
    </row>
    <row r="495" spans="1:22" x14ac:dyDescent="0.35">
      <c r="A495" s="675"/>
      <c r="B495" s="675"/>
      <c r="C495" s="677">
        <f t="shared" ref="C495:C503" si="68">B495/0.113</f>
        <v>0</v>
      </c>
      <c r="D495" s="677">
        <f t="shared" ref="D495:D503" si="69">C495*0.0036</f>
        <v>0</v>
      </c>
      <c r="E495" s="677">
        <f>D495*'Emission Factors'!$C$22*0.001</f>
        <v>0</v>
      </c>
      <c r="F495" s="677">
        <f>D495*'Emission Factors'!$D$22*0.001</f>
        <v>0</v>
      </c>
      <c r="G495" s="677">
        <f>D495*'Emission Factors'!$E$22*0.001</f>
        <v>0</v>
      </c>
      <c r="H495" s="678">
        <f t="shared" ref="H495:H503" si="70">E495+F495+G495</f>
        <v>0</v>
      </c>
      <c r="I495" s="679">
        <f>D495*AVERAGE('Emission Factors'!$B$42:$C$46)*0.001</f>
        <v>0</v>
      </c>
    </row>
    <row r="496" spans="1:22" x14ac:dyDescent="0.35">
      <c r="A496" s="675"/>
      <c r="B496" s="675"/>
      <c r="C496" s="677">
        <f t="shared" si="68"/>
        <v>0</v>
      </c>
      <c r="D496" s="677">
        <f t="shared" si="69"/>
        <v>0</v>
      </c>
      <c r="E496" s="677">
        <f>D496*'Emission Factors'!$C$22*0.001</f>
        <v>0</v>
      </c>
      <c r="F496" s="677">
        <f>D496*'Emission Factors'!$D$22*0.001</f>
        <v>0</v>
      </c>
      <c r="G496" s="677">
        <f>D496*'Emission Factors'!$E$22*0.001</f>
        <v>0</v>
      </c>
      <c r="H496" s="678">
        <f t="shared" si="70"/>
        <v>0</v>
      </c>
      <c r="I496" s="679">
        <f>D496*AVERAGE('Emission Factors'!$B$42:$C$46)*0.001</f>
        <v>0</v>
      </c>
    </row>
    <row r="497" spans="1:14" x14ac:dyDescent="0.35">
      <c r="A497" s="675"/>
      <c r="B497" s="675"/>
      <c r="C497" s="677">
        <f t="shared" si="68"/>
        <v>0</v>
      </c>
      <c r="D497" s="677">
        <f t="shared" si="69"/>
        <v>0</v>
      </c>
      <c r="E497" s="677">
        <f>D497*'Emission Factors'!$C$22*0.001</f>
        <v>0</v>
      </c>
      <c r="F497" s="677">
        <f>D497*'Emission Factors'!$D$22*0.001</f>
        <v>0</v>
      </c>
      <c r="G497" s="677">
        <f>D497*'Emission Factors'!$E$22*0.001</f>
        <v>0</v>
      </c>
      <c r="H497" s="678">
        <f t="shared" si="70"/>
        <v>0</v>
      </c>
      <c r="I497" s="679">
        <f>D497*AVERAGE('Emission Factors'!$B$42:$C$46)*0.001</f>
        <v>0</v>
      </c>
    </row>
    <row r="498" spans="1:14" x14ac:dyDescent="0.35">
      <c r="A498" s="675"/>
      <c r="B498" s="675"/>
      <c r="C498" s="677">
        <f t="shared" si="68"/>
        <v>0</v>
      </c>
      <c r="D498" s="677">
        <f t="shared" si="69"/>
        <v>0</v>
      </c>
      <c r="E498" s="677">
        <f>D498*'Emission Factors'!$C$22*0.001</f>
        <v>0</v>
      </c>
      <c r="F498" s="677">
        <f>D498*'Emission Factors'!$D$22*0.001</f>
        <v>0</v>
      </c>
      <c r="G498" s="677">
        <f>D498*'Emission Factors'!$E$22*0.001</f>
        <v>0</v>
      </c>
      <c r="H498" s="678">
        <f t="shared" si="70"/>
        <v>0</v>
      </c>
      <c r="I498" s="679">
        <f>D498*AVERAGE('Emission Factors'!$B$42:$C$46)*0.001</f>
        <v>0</v>
      </c>
    </row>
    <row r="499" spans="1:14" x14ac:dyDescent="0.35">
      <c r="A499" s="675"/>
      <c r="B499" s="675"/>
      <c r="C499" s="677">
        <f t="shared" si="68"/>
        <v>0</v>
      </c>
      <c r="D499" s="677">
        <f t="shared" si="69"/>
        <v>0</v>
      </c>
      <c r="E499" s="677">
        <f>D499*'Emission Factors'!$C$22*0.001</f>
        <v>0</v>
      </c>
      <c r="F499" s="677">
        <f>D499*'Emission Factors'!$D$22*0.001</f>
        <v>0</v>
      </c>
      <c r="G499" s="677">
        <f>D499*'Emission Factors'!$E$22*0.001</f>
        <v>0</v>
      </c>
      <c r="H499" s="678">
        <f t="shared" si="70"/>
        <v>0</v>
      </c>
      <c r="I499" s="679">
        <f>D499*AVERAGE('Emission Factors'!$B$42:$C$46)*0.001</f>
        <v>0</v>
      </c>
    </row>
    <row r="500" spans="1:14" x14ac:dyDescent="0.35">
      <c r="A500" s="675"/>
      <c r="B500" s="675"/>
      <c r="C500" s="677">
        <f t="shared" si="68"/>
        <v>0</v>
      </c>
      <c r="D500" s="677">
        <f t="shared" si="69"/>
        <v>0</v>
      </c>
      <c r="E500" s="677">
        <f>D500*'Emission Factors'!$C$22*0.001</f>
        <v>0</v>
      </c>
      <c r="F500" s="677">
        <f>D500*'Emission Factors'!$D$22*0.001</f>
        <v>0</v>
      </c>
      <c r="G500" s="677">
        <f>D500*'Emission Factors'!$E$22*0.001</f>
        <v>0</v>
      </c>
      <c r="H500" s="678">
        <f t="shared" si="70"/>
        <v>0</v>
      </c>
      <c r="I500" s="679">
        <f>D500*AVERAGE('Emission Factors'!$B$42:$C$46)*0.001</f>
        <v>0</v>
      </c>
    </row>
    <row r="501" spans="1:14" x14ac:dyDescent="0.35">
      <c r="A501" s="675"/>
      <c r="B501" s="675"/>
      <c r="C501" s="677">
        <f t="shared" si="68"/>
        <v>0</v>
      </c>
      <c r="D501" s="677">
        <f t="shared" si="69"/>
        <v>0</v>
      </c>
      <c r="E501" s="677">
        <f>D501*'Emission Factors'!$C$22*0.001</f>
        <v>0</v>
      </c>
      <c r="F501" s="677">
        <f>D501*'Emission Factors'!$D$22*0.001</f>
        <v>0</v>
      </c>
      <c r="G501" s="677">
        <f>D501*'Emission Factors'!$E$22*0.001</f>
        <v>0</v>
      </c>
      <c r="H501" s="678">
        <f t="shared" si="70"/>
        <v>0</v>
      </c>
      <c r="I501" s="679">
        <f>D501*AVERAGE('Emission Factors'!$B$42:$C$46)*0.001</f>
        <v>0</v>
      </c>
    </row>
    <row r="502" spans="1:14" x14ac:dyDescent="0.35">
      <c r="A502" s="675"/>
      <c r="B502" s="675"/>
      <c r="C502" s="677">
        <f t="shared" si="68"/>
        <v>0</v>
      </c>
      <c r="D502" s="677">
        <f t="shared" si="69"/>
        <v>0</v>
      </c>
      <c r="E502" s="677">
        <f>D502*'Emission Factors'!$C$22*0.001</f>
        <v>0</v>
      </c>
      <c r="F502" s="677">
        <f>D502*'Emission Factors'!$D$22*0.001</f>
        <v>0</v>
      </c>
      <c r="G502" s="677">
        <f>D502*'Emission Factors'!$E$22*0.001</f>
        <v>0</v>
      </c>
      <c r="H502" s="678">
        <f t="shared" si="70"/>
        <v>0</v>
      </c>
      <c r="I502" s="679">
        <f>D502*AVERAGE('Emission Factors'!$B$42:$C$46)*0.001</f>
        <v>0</v>
      </c>
    </row>
    <row r="503" spans="1:14" ht="16" thickBot="1" x14ac:dyDescent="0.4">
      <c r="A503" s="675"/>
      <c r="B503" s="675"/>
      <c r="C503" s="677">
        <f t="shared" si="68"/>
        <v>0</v>
      </c>
      <c r="D503" s="677">
        <f t="shared" si="69"/>
        <v>0</v>
      </c>
      <c r="E503" s="677">
        <f>D503*'Emission Factors'!$C$22*0.001</f>
        <v>0</v>
      </c>
      <c r="F503" s="677">
        <f>D503*'Emission Factors'!$D$22*0.001</f>
        <v>0</v>
      </c>
      <c r="G503" s="677">
        <f>D503*'Emission Factors'!$E$22*0.001</f>
        <v>0</v>
      </c>
      <c r="H503" s="678">
        <f t="shared" si="70"/>
        <v>0</v>
      </c>
      <c r="I503" s="679">
        <f>D503*AVERAGE('Emission Factors'!$B$42:$C$46)*0.001</f>
        <v>0</v>
      </c>
    </row>
    <row r="504" spans="1:14" ht="16" thickBot="1" x14ac:dyDescent="0.4">
      <c r="A504" s="693" t="s">
        <v>390</v>
      </c>
      <c r="G504" s="684" t="s">
        <v>1699</v>
      </c>
      <c r="H504" s="685">
        <f>SUM(H494:H503)</f>
        <v>0</v>
      </c>
      <c r="I504" s="686">
        <f>SUM(I494:I503)</f>
        <v>0</v>
      </c>
    </row>
    <row r="506" spans="1:14" s="664" customFormat="1" ht="36" x14ac:dyDescent="0.8">
      <c r="A506" s="1539" t="s">
        <v>45</v>
      </c>
      <c r="B506" s="1540"/>
      <c r="C506" s="1540"/>
      <c r="D506" s="1540"/>
      <c r="E506" s="1540"/>
      <c r="F506" s="1540"/>
      <c r="G506" s="1540"/>
      <c r="H506" s="1540"/>
      <c r="I506" s="1540"/>
      <c r="J506" s="617"/>
      <c r="N506" s="617"/>
    </row>
    <row r="507" spans="1:14" s="667" customFormat="1" ht="24" thickBot="1" x14ac:dyDescent="0.6">
      <c r="A507" s="1474" t="s">
        <v>356</v>
      </c>
      <c r="B507" s="1475"/>
      <c r="C507" s="1476"/>
      <c r="D507" s="1461" t="s">
        <v>330</v>
      </c>
      <c r="E507" s="1462"/>
      <c r="F507" s="683"/>
      <c r="G507" s="666"/>
      <c r="H507" s="666"/>
      <c r="I507" s="666"/>
      <c r="J507" s="617"/>
      <c r="K507" s="666"/>
      <c r="L507" s="666"/>
      <c r="M507" s="666"/>
      <c r="N507" s="617"/>
    </row>
    <row r="508" spans="1:14" ht="36" customHeight="1" x14ac:dyDescent="0.45">
      <c r="E508" s="668"/>
      <c r="F508" s="668"/>
      <c r="G508" s="668"/>
      <c r="H508" s="669" t="s">
        <v>39</v>
      </c>
      <c r="I508" s="670" t="s">
        <v>68</v>
      </c>
    </row>
    <row r="509" spans="1:14" ht="85.5" customHeight="1" x14ac:dyDescent="0.35">
      <c r="A509" s="697" t="s">
        <v>331</v>
      </c>
      <c r="B509" s="672" t="s">
        <v>395</v>
      </c>
      <c r="C509" s="672" t="s">
        <v>396</v>
      </c>
      <c r="D509" s="672" t="s">
        <v>334</v>
      </c>
      <c r="E509" s="672" t="s">
        <v>1696</v>
      </c>
      <c r="F509" s="672" t="s">
        <v>1697</v>
      </c>
      <c r="G509" s="672" t="s">
        <v>1698</v>
      </c>
      <c r="H509" s="673" t="s">
        <v>1696</v>
      </c>
      <c r="I509" s="674" t="s">
        <v>1696</v>
      </c>
    </row>
    <row r="510" spans="1:14" x14ac:dyDescent="0.35">
      <c r="A510" s="698"/>
      <c r="B510" s="676"/>
      <c r="C510" s="677">
        <f>B510/1000</f>
        <v>0</v>
      </c>
      <c r="D510" s="677">
        <f>'Emission Factors'!$B$69*C510</f>
        <v>0</v>
      </c>
      <c r="E510" s="677">
        <f>'Emission Factors'!$C$69*$D510*0.001</f>
        <v>0</v>
      </c>
      <c r="F510" s="677">
        <f>'Emission Factors'!$D$69*$D510*0.001</f>
        <v>0</v>
      </c>
      <c r="G510" s="677">
        <f>'Emission Factors'!$E$69*$D510*0.001</f>
        <v>0</v>
      </c>
      <c r="H510" s="678">
        <f t="shared" ref="H510:H519" si="71">E510+F510+G510</f>
        <v>0</v>
      </c>
      <c r="I510" s="679">
        <f>D510*'Emission Factors'!$G$69*0.001</f>
        <v>0</v>
      </c>
    </row>
    <row r="511" spans="1:14" x14ac:dyDescent="0.35">
      <c r="A511" s="698"/>
      <c r="B511" s="676"/>
      <c r="C511" s="677">
        <f t="shared" ref="C511:C519" si="72">B511/1000</f>
        <v>0</v>
      </c>
      <c r="D511" s="677">
        <f>'Emission Factors'!$B$69*C511</f>
        <v>0</v>
      </c>
      <c r="E511" s="677">
        <f>'Emission Factors'!$C$69*$D511*0.001</f>
        <v>0</v>
      </c>
      <c r="F511" s="677">
        <f>'Emission Factors'!$D$69*$D511*0.001</f>
        <v>0</v>
      </c>
      <c r="G511" s="677">
        <f>'Emission Factors'!$E$69*$D511*0.001</f>
        <v>0</v>
      </c>
      <c r="H511" s="678">
        <f t="shared" si="71"/>
        <v>0</v>
      </c>
      <c r="I511" s="679">
        <f>D511*'Emission Factors'!$G$69*0.001</f>
        <v>0</v>
      </c>
    </row>
    <row r="512" spans="1:14" x14ac:dyDescent="0.35">
      <c r="A512" s="698"/>
      <c r="B512" s="676"/>
      <c r="C512" s="677">
        <f t="shared" si="72"/>
        <v>0</v>
      </c>
      <c r="D512" s="677">
        <f>'Emission Factors'!$B$69*C512</f>
        <v>0</v>
      </c>
      <c r="E512" s="677">
        <f>'Emission Factors'!$C$69*$D512*0.001</f>
        <v>0</v>
      </c>
      <c r="F512" s="677">
        <f>'Emission Factors'!$D$69*$D512*0.001</f>
        <v>0</v>
      </c>
      <c r="G512" s="677">
        <f>'Emission Factors'!$E$69*$D512*0.001</f>
        <v>0</v>
      </c>
      <c r="H512" s="678">
        <f t="shared" si="71"/>
        <v>0</v>
      </c>
      <c r="I512" s="679">
        <f>D512*'Emission Factors'!$G$69*0.001</f>
        <v>0</v>
      </c>
    </row>
    <row r="513" spans="1:11" x14ac:dyDescent="0.35">
      <c r="A513" s="698"/>
      <c r="B513" s="676"/>
      <c r="C513" s="677">
        <f t="shared" si="72"/>
        <v>0</v>
      </c>
      <c r="D513" s="677">
        <f>'Emission Factors'!$B$69*C513</f>
        <v>0</v>
      </c>
      <c r="E513" s="677">
        <f>'Emission Factors'!$C$69*$D513*0.001</f>
        <v>0</v>
      </c>
      <c r="F513" s="677">
        <f>'Emission Factors'!$D$69*$D513*0.001</f>
        <v>0</v>
      </c>
      <c r="G513" s="677">
        <f>'Emission Factors'!$E$69*$D513*0.001</f>
        <v>0</v>
      </c>
      <c r="H513" s="678">
        <f t="shared" si="71"/>
        <v>0</v>
      </c>
      <c r="I513" s="679">
        <f>D513*'Emission Factors'!$G$69*0.001</f>
        <v>0</v>
      </c>
    </row>
    <row r="514" spans="1:11" x14ac:dyDescent="0.35">
      <c r="A514" s="698"/>
      <c r="B514" s="676"/>
      <c r="C514" s="677">
        <f t="shared" si="72"/>
        <v>0</v>
      </c>
      <c r="D514" s="677">
        <f>'Emission Factors'!$B$69*C514</f>
        <v>0</v>
      </c>
      <c r="E514" s="677">
        <f>'Emission Factors'!$C$69*$D514*0.001</f>
        <v>0</v>
      </c>
      <c r="F514" s="677">
        <f>'Emission Factors'!$D$69*$D514*0.001</f>
        <v>0</v>
      </c>
      <c r="G514" s="677">
        <f>'Emission Factors'!$E$69*$D514*0.001</f>
        <v>0</v>
      </c>
      <c r="H514" s="678">
        <f t="shared" si="71"/>
        <v>0</v>
      </c>
      <c r="I514" s="679">
        <f>D514*'Emission Factors'!$G$69*0.001</f>
        <v>0</v>
      </c>
    </row>
    <row r="515" spans="1:11" x14ac:dyDescent="0.35">
      <c r="A515" s="698"/>
      <c r="B515" s="676"/>
      <c r="C515" s="677">
        <f t="shared" si="72"/>
        <v>0</v>
      </c>
      <c r="D515" s="677">
        <f>'Emission Factors'!$B$69*C515</f>
        <v>0</v>
      </c>
      <c r="E515" s="677">
        <f>'Emission Factors'!$C$69*$D515*0.001</f>
        <v>0</v>
      </c>
      <c r="F515" s="677">
        <f>'Emission Factors'!$D$69*$D515*0.001</f>
        <v>0</v>
      </c>
      <c r="G515" s="677">
        <f>'Emission Factors'!$E$69*$D515*0.001</f>
        <v>0</v>
      </c>
      <c r="H515" s="678">
        <f t="shared" si="71"/>
        <v>0</v>
      </c>
      <c r="I515" s="679">
        <f>D515*'Emission Factors'!$G$69*0.001</f>
        <v>0</v>
      </c>
    </row>
    <row r="516" spans="1:11" x14ac:dyDescent="0.35">
      <c r="A516" s="698"/>
      <c r="B516" s="676"/>
      <c r="C516" s="677">
        <f t="shared" si="72"/>
        <v>0</v>
      </c>
      <c r="D516" s="677">
        <f>'Emission Factors'!$B$69*C516</f>
        <v>0</v>
      </c>
      <c r="E516" s="677">
        <f>'Emission Factors'!$C$69*$D516*0.001</f>
        <v>0</v>
      </c>
      <c r="F516" s="677">
        <f>'Emission Factors'!$D$69*$D516*0.001</f>
        <v>0</v>
      </c>
      <c r="G516" s="677">
        <f>'Emission Factors'!$E$69*$D516*0.001</f>
        <v>0</v>
      </c>
      <c r="H516" s="678">
        <f t="shared" si="71"/>
        <v>0</v>
      </c>
      <c r="I516" s="679">
        <f>D516*'Emission Factors'!$G$69*0.001</f>
        <v>0</v>
      </c>
    </row>
    <row r="517" spans="1:11" x14ac:dyDescent="0.35">
      <c r="A517" s="698"/>
      <c r="B517" s="676"/>
      <c r="C517" s="677">
        <f t="shared" si="72"/>
        <v>0</v>
      </c>
      <c r="D517" s="677">
        <f>'Emission Factors'!$B$69*C517</f>
        <v>0</v>
      </c>
      <c r="E517" s="677">
        <f>'Emission Factors'!$C$69*$D517*0.001</f>
        <v>0</v>
      </c>
      <c r="F517" s="677">
        <f>'Emission Factors'!$D$69*$D517*0.001</f>
        <v>0</v>
      </c>
      <c r="G517" s="677">
        <f>'Emission Factors'!$E$69*$D517*0.001</f>
        <v>0</v>
      </c>
      <c r="H517" s="678">
        <f t="shared" si="71"/>
        <v>0</v>
      </c>
      <c r="I517" s="679">
        <f>D517*'Emission Factors'!$G$69*0.001</f>
        <v>0</v>
      </c>
    </row>
    <row r="518" spans="1:11" x14ac:dyDescent="0.35">
      <c r="A518" s="698"/>
      <c r="B518" s="676"/>
      <c r="C518" s="677">
        <f t="shared" si="72"/>
        <v>0</v>
      </c>
      <c r="D518" s="677">
        <f>'Emission Factors'!$B$69*C518</f>
        <v>0</v>
      </c>
      <c r="E518" s="677">
        <f>'Emission Factors'!$C$69*$D518*0.001</f>
        <v>0</v>
      </c>
      <c r="F518" s="677">
        <f>'Emission Factors'!$D$69*$D518*0.001</f>
        <v>0</v>
      </c>
      <c r="G518" s="677">
        <f>'Emission Factors'!$E$69*$D518*0.001</f>
        <v>0</v>
      </c>
      <c r="H518" s="678">
        <f t="shared" si="71"/>
        <v>0</v>
      </c>
      <c r="I518" s="679">
        <f>D518*'Emission Factors'!$G$69*0.001</f>
        <v>0</v>
      </c>
    </row>
    <row r="519" spans="1:11" ht="16" thickBot="1" x14ac:dyDescent="0.4">
      <c r="A519" s="698"/>
      <c r="B519" s="676"/>
      <c r="C519" s="677">
        <f t="shared" si="72"/>
        <v>0</v>
      </c>
      <c r="D519" s="677">
        <f>'Emission Factors'!$B$69*C519</f>
        <v>0</v>
      </c>
      <c r="E519" s="677">
        <f>'Emission Factors'!$C$69*$D519*0.001</f>
        <v>0</v>
      </c>
      <c r="F519" s="677">
        <f>'Emission Factors'!$D$69*$D519*0.001</f>
        <v>0</v>
      </c>
      <c r="G519" s="677">
        <f>'Emission Factors'!$E$69*$D519*0.001</f>
        <v>0</v>
      </c>
      <c r="H519" s="695">
        <f t="shared" si="71"/>
        <v>0</v>
      </c>
      <c r="I519" s="679">
        <f>D519*'Emission Factors'!$G$69*0.001</f>
        <v>0</v>
      </c>
    </row>
    <row r="520" spans="1:11" ht="24" thickBot="1" x14ac:dyDescent="0.6">
      <c r="A520" s="699" t="s">
        <v>400</v>
      </c>
      <c r="B520" s="700" t="s">
        <v>360</v>
      </c>
      <c r="G520" s="684" t="s">
        <v>1699</v>
      </c>
      <c r="H520" s="685">
        <f>SUM(H510:H519)</f>
        <v>0</v>
      </c>
      <c r="I520" s="686">
        <f>SUM(I510:I519)</f>
        <v>0</v>
      </c>
      <c r="K520" s="667"/>
    </row>
    <row r="521" spans="1:11" s="667" customFormat="1" ht="23.5" x14ac:dyDescent="0.55000000000000004">
      <c r="A521" s="682" t="s">
        <v>335</v>
      </c>
      <c r="K521" s="617"/>
    </row>
    <row r="522" spans="1:11" s="667" customFormat="1" ht="24" thickBot="1" x14ac:dyDescent="0.6">
      <c r="A522" s="1474" t="s">
        <v>361</v>
      </c>
      <c r="B522" s="1475"/>
      <c r="C522" s="1476"/>
      <c r="D522" s="1461" t="s">
        <v>330</v>
      </c>
      <c r="E522" s="1462"/>
      <c r="F522" s="683"/>
      <c r="G522" s="666"/>
      <c r="H522" s="666"/>
      <c r="K522" s="617"/>
    </row>
    <row r="523" spans="1:11" ht="23.5" customHeight="1" x14ac:dyDescent="0.45">
      <c r="E523" s="668"/>
      <c r="F523" s="668"/>
      <c r="G523" s="668"/>
      <c r="H523" s="669" t="s">
        <v>39</v>
      </c>
      <c r="I523" s="670" t="s">
        <v>68</v>
      </c>
    </row>
    <row r="524" spans="1:11" ht="77.25" customHeight="1" x14ac:dyDescent="0.35">
      <c r="A524" s="697" t="s">
        <v>331</v>
      </c>
      <c r="B524" s="697" t="s">
        <v>362</v>
      </c>
      <c r="C524" s="672" t="s">
        <v>396</v>
      </c>
      <c r="D524" s="672" t="s">
        <v>334</v>
      </c>
      <c r="E524" s="672" t="s">
        <v>1696</v>
      </c>
      <c r="F524" s="672" t="s">
        <v>1697</v>
      </c>
      <c r="G524" s="672" t="s">
        <v>1698</v>
      </c>
      <c r="H524" s="673" t="s">
        <v>1696</v>
      </c>
      <c r="I524" s="674" t="s">
        <v>1696</v>
      </c>
    </row>
    <row r="525" spans="1:11" x14ac:dyDescent="0.35">
      <c r="A525" s="698"/>
      <c r="B525" s="675"/>
      <c r="C525" s="677">
        <f>(B525/'Emission Factors'!$B$88)/1000</f>
        <v>0</v>
      </c>
      <c r="D525" s="677">
        <f>'Emission Factors'!$B$69*C525</f>
        <v>0</v>
      </c>
      <c r="E525" s="677">
        <f>'Emission Factors'!$C$69*$D525*0.001</f>
        <v>0</v>
      </c>
      <c r="F525" s="677">
        <f>'Emission Factors'!$D$69*$D525*0.001</f>
        <v>0</v>
      </c>
      <c r="G525" s="677">
        <f>'Emission Factors'!$E$69*$D525*0.001</f>
        <v>0</v>
      </c>
      <c r="H525" s="678">
        <f t="shared" ref="H525:H534" si="73">E525+F525+G525</f>
        <v>0</v>
      </c>
      <c r="I525" s="679">
        <f>D525*'Emission Factors'!$G$69*0.001</f>
        <v>0</v>
      </c>
    </row>
    <row r="526" spans="1:11" x14ac:dyDescent="0.35">
      <c r="A526" s="698"/>
      <c r="B526" s="675"/>
      <c r="C526" s="677">
        <f>(B526/'Emission Factors'!$B$88)/1000</f>
        <v>0</v>
      </c>
      <c r="D526" s="677">
        <f>'Emission Factors'!$B$69*C526</f>
        <v>0</v>
      </c>
      <c r="E526" s="677">
        <f>'Emission Factors'!$C$69*$D526*0.001</f>
        <v>0</v>
      </c>
      <c r="F526" s="677">
        <f>'Emission Factors'!$D$69*$D526*0.001</f>
        <v>0</v>
      </c>
      <c r="G526" s="677">
        <f>'Emission Factors'!$E$69*$D526*0.001</f>
        <v>0</v>
      </c>
      <c r="H526" s="678">
        <f t="shared" si="73"/>
        <v>0</v>
      </c>
      <c r="I526" s="679">
        <f>D526*'Emission Factors'!$G$69*0.001</f>
        <v>0</v>
      </c>
    </row>
    <row r="527" spans="1:11" x14ac:dyDescent="0.35">
      <c r="A527" s="698"/>
      <c r="B527" s="675"/>
      <c r="C527" s="677">
        <f>(B527/'Emission Factors'!$B$88)/1000</f>
        <v>0</v>
      </c>
      <c r="D527" s="677">
        <f>'Emission Factors'!$B$69*C527</f>
        <v>0</v>
      </c>
      <c r="E527" s="677">
        <f>'Emission Factors'!$C$69*$D527*0.001</f>
        <v>0</v>
      </c>
      <c r="F527" s="677">
        <f>'Emission Factors'!$D$69*$D527*0.001</f>
        <v>0</v>
      </c>
      <c r="G527" s="677">
        <f>'Emission Factors'!$E$69*$D527*0.001</f>
        <v>0</v>
      </c>
      <c r="H527" s="678">
        <f t="shared" si="73"/>
        <v>0</v>
      </c>
      <c r="I527" s="679">
        <f>D527*'Emission Factors'!$G$69*0.001</f>
        <v>0</v>
      </c>
    </row>
    <row r="528" spans="1:11" x14ac:dyDescent="0.35">
      <c r="A528" s="698"/>
      <c r="B528" s="675"/>
      <c r="C528" s="677">
        <f>(B528/'Emission Factors'!$B$88)/1000</f>
        <v>0</v>
      </c>
      <c r="D528" s="677">
        <f>'Emission Factors'!$B$69*C528</f>
        <v>0</v>
      </c>
      <c r="E528" s="677">
        <f>'Emission Factors'!$C$69*$D528*0.001</f>
        <v>0</v>
      </c>
      <c r="F528" s="677">
        <f>'Emission Factors'!$D$69*$D528*0.001</f>
        <v>0</v>
      </c>
      <c r="G528" s="677">
        <f>'Emission Factors'!$E$69*$D528*0.001</f>
        <v>0</v>
      </c>
      <c r="H528" s="678">
        <f t="shared" si="73"/>
        <v>0</v>
      </c>
      <c r="I528" s="679">
        <f>D528*'Emission Factors'!$G$69*0.001</f>
        <v>0</v>
      </c>
    </row>
    <row r="529" spans="1:22" x14ac:dyDescent="0.35">
      <c r="A529" s="698"/>
      <c r="B529" s="675"/>
      <c r="C529" s="677">
        <f>(B529/'Emission Factors'!$B$88)/1000</f>
        <v>0</v>
      </c>
      <c r="D529" s="677">
        <f>'Emission Factors'!$B$69*C529</f>
        <v>0</v>
      </c>
      <c r="E529" s="677">
        <f>'Emission Factors'!$C$69*$D529*0.001</f>
        <v>0</v>
      </c>
      <c r="F529" s="677">
        <f>'Emission Factors'!$D$69*$D529*0.001</f>
        <v>0</v>
      </c>
      <c r="G529" s="677">
        <f>'Emission Factors'!$E$69*$D529*0.001</f>
        <v>0</v>
      </c>
      <c r="H529" s="678">
        <f t="shared" si="73"/>
        <v>0</v>
      </c>
      <c r="I529" s="679">
        <f>D529*'Emission Factors'!$G$69*0.001</f>
        <v>0</v>
      </c>
    </row>
    <row r="530" spans="1:22" x14ac:dyDescent="0.35">
      <c r="A530" s="698"/>
      <c r="B530" s="675"/>
      <c r="C530" s="677">
        <f>(B530/'Emission Factors'!$B$88)/1000</f>
        <v>0</v>
      </c>
      <c r="D530" s="677">
        <f>'Emission Factors'!$B$69*C530</f>
        <v>0</v>
      </c>
      <c r="E530" s="677">
        <f>'Emission Factors'!$C$69*$D530*0.001</f>
        <v>0</v>
      </c>
      <c r="F530" s="677">
        <f>'Emission Factors'!$D$69*$D530*0.001</f>
        <v>0</v>
      </c>
      <c r="G530" s="677">
        <f>'Emission Factors'!$E$69*$D530*0.001</f>
        <v>0</v>
      </c>
      <c r="H530" s="678">
        <f t="shared" si="73"/>
        <v>0</v>
      </c>
      <c r="I530" s="679">
        <f>D530*'Emission Factors'!$G$69*0.001</f>
        <v>0</v>
      </c>
    </row>
    <row r="531" spans="1:22" x14ac:dyDescent="0.35">
      <c r="A531" s="698"/>
      <c r="B531" s="675"/>
      <c r="C531" s="677">
        <f>(B531/'Emission Factors'!$B$88)/1000</f>
        <v>0</v>
      </c>
      <c r="D531" s="677">
        <f>'Emission Factors'!$B$69*C531</f>
        <v>0</v>
      </c>
      <c r="E531" s="677">
        <f>'Emission Factors'!$C$69*$D531*0.001</f>
        <v>0</v>
      </c>
      <c r="F531" s="677">
        <f>'Emission Factors'!$D$69*$D531*0.001</f>
        <v>0</v>
      </c>
      <c r="G531" s="677">
        <f>'Emission Factors'!$E$69*$D531*0.001</f>
        <v>0</v>
      </c>
      <c r="H531" s="678">
        <f t="shared" si="73"/>
        <v>0</v>
      </c>
      <c r="I531" s="679">
        <f>D531*'Emission Factors'!$G$69*0.001</f>
        <v>0</v>
      </c>
    </row>
    <row r="532" spans="1:22" x14ac:dyDescent="0.35">
      <c r="A532" s="698"/>
      <c r="B532" s="675"/>
      <c r="C532" s="677">
        <f>(B532/'Emission Factors'!$B$88)/1000</f>
        <v>0</v>
      </c>
      <c r="D532" s="677">
        <f>'Emission Factors'!$B$69*C532</f>
        <v>0</v>
      </c>
      <c r="E532" s="677">
        <f>'Emission Factors'!$C$69*$D532*0.001</f>
        <v>0</v>
      </c>
      <c r="F532" s="677">
        <f>'Emission Factors'!$D$69*$D532*0.001</f>
        <v>0</v>
      </c>
      <c r="G532" s="677">
        <f>'Emission Factors'!$E$69*$D532*0.001</f>
        <v>0</v>
      </c>
      <c r="H532" s="678">
        <f t="shared" si="73"/>
        <v>0</v>
      </c>
      <c r="I532" s="679">
        <f>D532*'Emission Factors'!$G$69*0.001</f>
        <v>0</v>
      </c>
    </row>
    <row r="533" spans="1:22" x14ac:dyDescent="0.35">
      <c r="A533" s="698"/>
      <c r="B533" s="675"/>
      <c r="C533" s="677">
        <f>(B533/'Emission Factors'!$B$88)/1000</f>
        <v>0</v>
      </c>
      <c r="D533" s="677">
        <f>'Emission Factors'!$B$69*C533</f>
        <v>0</v>
      </c>
      <c r="E533" s="677">
        <f>'Emission Factors'!$C$69*$D533*0.001</f>
        <v>0</v>
      </c>
      <c r="F533" s="677">
        <f>'Emission Factors'!$D$69*$D533*0.001</f>
        <v>0</v>
      </c>
      <c r="G533" s="677">
        <f>'Emission Factors'!$E$69*$D533*0.001</f>
        <v>0</v>
      </c>
      <c r="H533" s="678">
        <f t="shared" si="73"/>
        <v>0</v>
      </c>
      <c r="I533" s="679">
        <f>D533*'Emission Factors'!$G$69*0.001</f>
        <v>0</v>
      </c>
    </row>
    <row r="534" spans="1:22" ht="16" thickBot="1" x14ac:dyDescent="0.4">
      <c r="A534" s="698"/>
      <c r="B534" s="675"/>
      <c r="C534" s="677">
        <f>(B534/'Emission Factors'!$B$88)/1000</f>
        <v>0</v>
      </c>
      <c r="D534" s="677">
        <f>'Emission Factors'!$B$69*C534</f>
        <v>0</v>
      </c>
      <c r="E534" s="677">
        <f>'Emission Factors'!$C$69*$D534*0.001</f>
        <v>0</v>
      </c>
      <c r="F534" s="677">
        <f>'Emission Factors'!$D$69*$D534*0.001</f>
        <v>0</v>
      </c>
      <c r="G534" s="677">
        <f>'Emission Factors'!$E$69*$D534*0.001</f>
        <v>0</v>
      </c>
      <c r="H534" s="695">
        <f t="shared" si="73"/>
        <v>0</v>
      </c>
      <c r="I534" s="679">
        <f>D534*'Emission Factors'!$G$69*0.001</f>
        <v>0</v>
      </c>
    </row>
    <row r="535" spans="1:22" ht="16" thickBot="1" x14ac:dyDescent="0.4">
      <c r="A535" s="693"/>
      <c r="G535" s="684" t="s">
        <v>1699</v>
      </c>
      <c r="H535" s="685">
        <f>SUM(H525:H534)</f>
        <v>0</v>
      </c>
      <c r="I535" s="686">
        <f>SUM(I525:I534)</f>
        <v>0</v>
      </c>
    </row>
    <row r="537" spans="1:22" s="664" customFormat="1" ht="36" x14ac:dyDescent="0.8">
      <c r="A537" s="1539" t="s">
        <v>401</v>
      </c>
      <c r="B537" s="1540"/>
      <c r="C537" s="1540"/>
      <c r="D537" s="1540"/>
      <c r="E537" s="1540"/>
      <c r="F537" s="1540"/>
      <c r="G537" s="1540"/>
      <c r="H537" s="1540"/>
      <c r="I537" s="1540"/>
      <c r="J537" s="617"/>
      <c r="K537" s="617"/>
      <c r="L537" s="617"/>
      <c r="M537" s="617"/>
      <c r="N537" s="666"/>
    </row>
    <row r="538" spans="1:22" s="667" customFormat="1" ht="36.65" customHeight="1" thickBot="1" x14ac:dyDescent="0.85">
      <c r="A538" s="1474" t="s">
        <v>402</v>
      </c>
      <c r="B538" s="1475"/>
      <c r="C538" s="1476"/>
      <c r="D538" s="1461" t="s">
        <v>330</v>
      </c>
      <c r="E538" s="1462"/>
      <c r="F538" s="683"/>
      <c r="G538" s="666"/>
      <c r="H538" s="666"/>
      <c r="I538" s="666"/>
      <c r="J538" s="666"/>
      <c r="K538" s="666"/>
      <c r="L538" s="666"/>
      <c r="M538" s="666"/>
      <c r="N538" s="666"/>
      <c r="O538" s="691"/>
      <c r="Q538" s="691"/>
      <c r="R538" s="617"/>
      <c r="S538" s="664"/>
      <c r="T538" s="664"/>
      <c r="U538" s="664"/>
      <c r="V538" s="617"/>
    </row>
    <row r="539" spans="1:22" ht="36" customHeight="1" x14ac:dyDescent="0.45">
      <c r="E539" s="668"/>
      <c r="F539" s="668"/>
      <c r="G539" s="668"/>
      <c r="H539" s="669" t="s">
        <v>39</v>
      </c>
      <c r="I539" s="670" t="s">
        <v>68</v>
      </c>
    </row>
    <row r="540" spans="1:22" ht="31" x14ac:dyDescent="0.35">
      <c r="A540" s="697" t="s">
        <v>331</v>
      </c>
      <c r="B540" s="672" t="s">
        <v>395</v>
      </c>
      <c r="C540" s="672" t="s">
        <v>396</v>
      </c>
      <c r="D540" s="672" t="s">
        <v>334</v>
      </c>
      <c r="E540" s="672" t="s">
        <v>1696</v>
      </c>
      <c r="F540" s="672" t="s">
        <v>1697</v>
      </c>
      <c r="G540" s="672" t="s">
        <v>1698</v>
      </c>
      <c r="H540" s="673" t="s">
        <v>1696</v>
      </c>
      <c r="I540" s="674" t="s">
        <v>1696</v>
      </c>
    </row>
    <row r="541" spans="1:22" x14ac:dyDescent="0.35">
      <c r="A541" s="698"/>
      <c r="B541" s="676"/>
      <c r="C541" s="677">
        <f>B541/1000</f>
        <v>0</v>
      </c>
      <c r="D541" s="677">
        <f>'Emission Factors'!$B$65*$C541</f>
        <v>0</v>
      </c>
      <c r="E541" s="677">
        <f>'Emission Factors'!$C$65*$D541</f>
        <v>0</v>
      </c>
      <c r="F541" s="677">
        <f>'Emission Factors'!$D$65*$D541*0.001</f>
        <v>0</v>
      </c>
      <c r="G541" s="677">
        <f>'Emission Factors'!$E$65*$D541*0.001</f>
        <v>0</v>
      </c>
      <c r="H541" s="678">
        <f t="shared" ref="H541:H550" si="74">E541+F541+G541</f>
        <v>0</v>
      </c>
      <c r="I541" s="679">
        <f>D541*'Emission Factors'!$G$65*0.001</f>
        <v>0</v>
      </c>
    </row>
    <row r="542" spans="1:22" x14ac:dyDescent="0.35">
      <c r="A542" s="698"/>
      <c r="B542" s="676"/>
      <c r="C542" s="677">
        <f t="shared" ref="C542:C550" si="75">B542/1000</f>
        <v>0</v>
      </c>
      <c r="D542" s="677">
        <f>'Emission Factors'!$B$65*C542</f>
        <v>0</v>
      </c>
      <c r="E542" s="677">
        <f>'Emission Factors'!$C$65*$D542</f>
        <v>0</v>
      </c>
      <c r="F542" s="677">
        <f>'Emission Factors'!$D$65*$D542*0.001</f>
        <v>0</v>
      </c>
      <c r="G542" s="677">
        <f>'Emission Factors'!$E$65*$D542*0.001</f>
        <v>0</v>
      </c>
      <c r="H542" s="678">
        <f t="shared" si="74"/>
        <v>0</v>
      </c>
      <c r="I542" s="679">
        <f>D542*'Emission Factors'!$G$65*0.001</f>
        <v>0</v>
      </c>
    </row>
    <row r="543" spans="1:22" x14ac:dyDescent="0.35">
      <c r="A543" s="698"/>
      <c r="B543" s="676"/>
      <c r="C543" s="677">
        <f t="shared" si="75"/>
        <v>0</v>
      </c>
      <c r="D543" s="677">
        <f>'Emission Factors'!$B$65*C543</f>
        <v>0</v>
      </c>
      <c r="E543" s="677">
        <f>'Emission Factors'!$C$65*$D543</f>
        <v>0</v>
      </c>
      <c r="F543" s="677">
        <f>'Emission Factors'!$D$65*$D543*0.001</f>
        <v>0</v>
      </c>
      <c r="G543" s="677">
        <f>'Emission Factors'!$E$65*$D543*0.001</f>
        <v>0</v>
      </c>
      <c r="H543" s="678">
        <f t="shared" si="74"/>
        <v>0</v>
      </c>
      <c r="I543" s="679">
        <f>D543*'Emission Factors'!$G$65*0.001</f>
        <v>0</v>
      </c>
    </row>
    <row r="544" spans="1:22" x14ac:dyDescent="0.35">
      <c r="A544" s="698"/>
      <c r="B544" s="676"/>
      <c r="C544" s="677">
        <f t="shared" si="75"/>
        <v>0</v>
      </c>
      <c r="D544" s="677">
        <f>'Emission Factors'!$B$65*C544</f>
        <v>0</v>
      </c>
      <c r="E544" s="677">
        <f>'Emission Factors'!$C$65*$D544</f>
        <v>0</v>
      </c>
      <c r="F544" s="677">
        <f>'Emission Factors'!$D$65*$D544*0.001</f>
        <v>0</v>
      </c>
      <c r="G544" s="677">
        <f>'Emission Factors'!$E$65*$D544*0.001</f>
        <v>0</v>
      </c>
      <c r="H544" s="678">
        <f t="shared" si="74"/>
        <v>0</v>
      </c>
      <c r="I544" s="679">
        <f>D544*'Emission Factors'!$G$65*0.001</f>
        <v>0</v>
      </c>
    </row>
    <row r="545" spans="1:18" x14ac:dyDescent="0.35">
      <c r="A545" s="698"/>
      <c r="B545" s="676"/>
      <c r="C545" s="677">
        <f t="shared" si="75"/>
        <v>0</v>
      </c>
      <c r="D545" s="677">
        <f>'Emission Factors'!$B$65*C545</f>
        <v>0</v>
      </c>
      <c r="E545" s="677">
        <f>'Emission Factors'!$C$65*$D545</f>
        <v>0</v>
      </c>
      <c r="F545" s="677">
        <f>'Emission Factors'!$D$65*$D545*0.001</f>
        <v>0</v>
      </c>
      <c r="G545" s="677">
        <f>'Emission Factors'!$E$65*$D545*0.001</f>
        <v>0</v>
      </c>
      <c r="H545" s="678">
        <f t="shared" si="74"/>
        <v>0</v>
      </c>
      <c r="I545" s="679">
        <f>D545*'Emission Factors'!$G$65*0.001</f>
        <v>0</v>
      </c>
    </row>
    <row r="546" spans="1:18" x14ac:dyDescent="0.35">
      <c r="A546" s="698"/>
      <c r="B546" s="676"/>
      <c r="C546" s="677">
        <f t="shared" si="75"/>
        <v>0</v>
      </c>
      <c r="D546" s="677">
        <f>'Emission Factors'!$B$65*C546</f>
        <v>0</v>
      </c>
      <c r="E546" s="677">
        <f>'Emission Factors'!$C$65*$D546</f>
        <v>0</v>
      </c>
      <c r="F546" s="677">
        <f>'Emission Factors'!$D$65*$D546*0.001</f>
        <v>0</v>
      </c>
      <c r="G546" s="677">
        <f>'Emission Factors'!$E$65*$D546*0.001</f>
        <v>0</v>
      </c>
      <c r="H546" s="678">
        <f t="shared" si="74"/>
        <v>0</v>
      </c>
      <c r="I546" s="679">
        <f>D546*'Emission Factors'!$G$65*0.001</f>
        <v>0</v>
      </c>
    </row>
    <row r="547" spans="1:18" x14ac:dyDescent="0.35">
      <c r="A547" s="698"/>
      <c r="B547" s="676"/>
      <c r="C547" s="677">
        <f t="shared" si="75"/>
        <v>0</v>
      </c>
      <c r="D547" s="677">
        <f>'Emission Factors'!$B$65*C547</f>
        <v>0</v>
      </c>
      <c r="E547" s="677">
        <f>'Emission Factors'!$C$65*$D547</f>
        <v>0</v>
      </c>
      <c r="F547" s="677">
        <f>'Emission Factors'!$D$65*$D547*0.001</f>
        <v>0</v>
      </c>
      <c r="G547" s="677">
        <f>'Emission Factors'!$E$65*$D547*0.001</f>
        <v>0</v>
      </c>
      <c r="H547" s="678">
        <f t="shared" si="74"/>
        <v>0</v>
      </c>
      <c r="I547" s="679">
        <f>D547*'Emission Factors'!$G$65*0.001</f>
        <v>0</v>
      </c>
    </row>
    <row r="548" spans="1:18" x14ac:dyDescent="0.35">
      <c r="A548" s="698"/>
      <c r="B548" s="676"/>
      <c r="C548" s="677">
        <f t="shared" si="75"/>
        <v>0</v>
      </c>
      <c r="D548" s="677">
        <f>'Emission Factors'!$B$65*C548</f>
        <v>0</v>
      </c>
      <c r="E548" s="677">
        <f>'Emission Factors'!$C$65*$D548</f>
        <v>0</v>
      </c>
      <c r="F548" s="677">
        <f>'Emission Factors'!$D$65*$D548*0.001</f>
        <v>0</v>
      </c>
      <c r="G548" s="677">
        <f>'Emission Factors'!$E$65*$D548*0.001</f>
        <v>0</v>
      </c>
      <c r="H548" s="678">
        <f t="shared" si="74"/>
        <v>0</v>
      </c>
      <c r="I548" s="679">
        <f>D548*'Emission Factors'!$G$65*0.001</f>
        <v>0</v>
      </c>
    </row>
    <row r="549" spans="1:18" x14ac:dyDescent="0.35">
      <c r="A549" s="698"/>
      <c r="B549" s="676"/>
      <c r="C549" s="677">
        <f t="shared" si="75"/>
        <v>0</v>
      </c>
      <c r="D549" s="677">
        <f>'Emission Factors'!$B$65*C549</f>
        <v>0</v>
      </c>
      <c r="E549" s="677">
        <f>'Emission Factors'!$C$65*$D549</f>
        <v>0</v>
      </c>
      <c r="F549" s="677">
        <f>'Emission Factors'!$D$65*$D549*0.001</f>
        <v>0</v>
      </c>
      <c r="G549" s="677">
        <f>'Emission Factors'!$E$65*$D549*0.001</f>
        <v>0</v>
      </c>
      <c r="H549" s="678">
        <f t="shared" si="74"/>
        <v>0</v>
      </c>
      <c r="I549" s="679">
        <f>D549*'Emission Factors'!$G$65*0.001</f>
        <v>0</v>
      </c>
    </row>
    <row r="550" spans="1:18" ht="24" thickBot="1" x14ac:dyDescent="0.6">
      <c r="A550" s="698"/>
      <c r="B550" s="676"/>
      <c r="C550" s="677">
        <f t="shared" si="75"/>
        <v>0</v>
      </c>
      <c r="D550" s="677">
        <f>'Emission Factors'!$B$65*C550</f>
        <v>0</v>
      </c>
      <c r="E550" s="677">
        <f>'Emission Factors'!$C$65*$D550</f>
        <v>0</v>
      </c>
      <c r="F550" s="677">
        <f>'Emission Factors'!$D$65*$D550*0.001</f>
        <v>0</v>
      </c>
      <c r="G550" s="677">
        <f>'Emission Factors'!$E$65*$D550*0.001</f>
        <v>0</v>
      </c>
      <c r="H550" s="695">
        <f t="shared" si="74"/>
        <v>0</v>
      </c>
      <c r="I550" s="679">
        <f>D550*'Emission Factors'!$G$65*0.001</f>
        <v>0</v>
      </c>
      <c r="K550" s="667"/>
    </row>
    <row r="551" spans="1:18" s="667" customFormat="1" ht="24" thickBot="1" x14ac:dyDescent="0.6">
      <c r="A551" s="682" t="s">
        <v>335</v>
      </c>
      <c r="G551" s="684" t="s">
        <v>1699</v>
      </c>
      <c r="H551" s="685">
        <f>SUM(H541:H550)</f>
        <v>0</v>
      </c>
      <c r="I551" s="686">
        <f>SUM(I541:I550)</f>
        <v>0</v>
      </c>
      <c r="N551" s="617"/>
    </row>
    <row r="552" spans="1:18" s="667" customFormat="1" ht="24" customHeight="1" thickBot="1" x14ac:dyDescent="0.6">
      <c r="A552" s="1474" t="s">
        <v>402</v>
      </c>
      <c r="B552" s="1475"/>
      <c r="C552" s="1476"/>
      <c r="D552" s="1461" t="s">
        <v>330</v>
      </c>
      <c r="E552" s="1462"/>
      <c r="F552" s="683"/>
      <c r="G552" s="666"/>
      <c r="H552" s="666"/>
      <c r="N552" s="617"/>
      <c r="R552" s="617"/>
    </row>
    <row r="553" spans="1:18" ht="23.5" customHeight="1" x14ac:dyDescent="0.55000000000000004">
      <c r="E553" s="668"/>
      <c r="F553" s="668"/>
      <c r="G553" s="668"/>
      <c r="H553" s="669" t="s">
        <v>39</v>
      </c>
      <c r="I553" s="670" t="s">
        <v>68</v>
      </c>
      <c r="J553" s="667"/>
    </row>
    <row r="554" spans="1:18" ht="72" customHeight="1" x14ac:dyDescent="0.55000000000000004">
      <c r="A554" s="697" t="s">
        <v>331</v>
      </c>
      <c r="B554" s="697" t="s">
        <v>362</v>
      </c>
      <c r="C554" s="672" t="s">
        <v>396</v>
      </c>
      <c r="D554" s="672" t="s">
        <v>334</v>
      </c>
      <c r="E554" s="672" t="s">
        <v>1696</v>
      </c>
      <c r="F554" s="672" t="s">
        <v>1697</v>
      </c>
      <c r="G554" s="672" t="s">
        <v>1698</v>
      </c>
      <c r="H554" s="673" t="s">
        <v>1696</v>
      </c>
      <c r="I554" s="674" t="s">
        <v>1696</v>
      </c>
      <c r="J554" s="667"/>
    </row>
    <row r="555" spans="1:18" x14ac:dyDescent="0.35">
      <c r="A555" s="698"/>
      <c r="B555" s="675"/>
      <c r="C555" s="677">
        <f>(B555/'Emission Factors'!$B$87)/1000</f>
        <v>0</v>
      </c>
      <c r="D555" s="677">
        <f>C555*'Emission Factors'!$B$65</f>
        <v>0</v>
      </c>
      <c r="E555" s="677">
        <f>'Emission Factors'!$C$65*$D555</f>
        <v>0</v>
      </c>
      <c r="F555" s="677">
        <f>'Emission Factors'!$D$65*$D555*0.001</f>
        <v>0</v>
      </c>
      <c r="G555" s="677">
        <f>'Emission Factors'!$E$65*$D555*0.001</f>
        <v>0</v>
      </c>
      <c r="H555" s="678">
        <f t="shared" ref="H555:H564" si="76">E555+F555+G555</f>
        <v>0</v>
      </c>
      <c r="I555" s="679">
        <f>D555*'Emission Factors'!$G$65*0.001</f>
        <v>0</v>
      </c>
    </row>
    <row r="556" spans="1:18" x14ac:dyDescent="0.35">
      <c r="A556" s="698"/>
      <c r="B556" s="675"/>
      <c r="C556" s="677">
        <f>(B556/'Emission Factors'!$B$87)/1000</f>
        <v>0</v>
      </c>
      <c r="D556" s="677">
        <f>C556*'Emission Factors'!$B$65</f>
        <v>0</v>
      </c>
      <c r="E556" s="677">
        <f>'Emission Factors'!$C$65*$D556</f>
        <v>0</v>
      </c>
      <c r="F556" s="677">
        <f>'Emission Factors'!$D$65*$D556*0.001</f>
        <v>0</v>
      </c>
      <c r="G556" s="677">
        <f>'Emission Factors'!$E$65*$D556*0.001</f>
        <v>0</v>
      </c>
      <c r="H556" s="678">
        <f t="shared" si="76"/>
        <v>0</v>
      </c>
      <c r="I556" s="679">
        <f>D556*'Emission Factors'!$G$65*0.001</f>
        <v>0</v>
      </c>
    </row>
    <row r="557" spans="1:18" x14ac:dyDescent="0.35">
      <c r="A557" s="698"/>
      <c r="B557" s="675"/>
      <c r="C557" s="677">
        <f>(B557/'Emission Factors'!$B$87)/1000</f>
        <v>0</v>
      </c>
      <c r="D557" s="677">
        <f>C557*'Emission Factors'!$B$65</f>
        <v>0</v>
      </c>
      <c r="E557" s="677">
        <f>'Emission Factors'!$C$65*$D557</f>
        <v>0</v>
      </c>
      <c r="F557" s="677">
        <f>'Emission Factors'!$D$65*$D557*0.001</f>
        <v>0</v>
      </c>
      <c r="G557" s="677">
        <f>'Emission Factors'!$E$65*$D557*0.001</f>
        <v>0</v>
      </c>
      <c r="H557" s="678">
        <f t="shared" si="76"/>
        <v>0</v>
      </c>
      <c r="I557" s="679">
        <f>D557*'Emission Factors'!$G$65*0.001</f>
        <v>0</v>
      </c>
    </row>
    <row r="558" spans="1:18" x14ac:dyDescent="0.35">
      <c r="A558" s="698"/>
      <c r="B558" s="675"/>
      <c r="C558" s="677">
        <f>(B558/'Emission Factors'!$B$87)/1000</f>
        <v>0</v>
      </c>
      <c r="D558" s="677">
        <f>C558*'Emission Factors'!$B$65</f>
        <v>0</v>
      </c>
      <c r="E558" s="677">
        <f>'Emission Factors'!$C$65*$D558</f>
        <v>0</v>
      </c>
      <c r="F558" s="677">
        <f>'Emission Factors'!$D$65*$D558*0.001</f>
        <v>0</v>
      </c>
      <c r="G558" s="677">
        <f>'Emission Factors'!$E$65*$D558*0.001</f>
        <v>0</v>
      </c>
      <c r="H558" s="678">
        <f t="shared" si="76"/>
        <v>0</v>
      </c>
      <c r="I558" s="679">
        <f>D558*'Emission Factors'!$G$65*0.001</f>
        <v>0</v>
      </c>
    </row>
    <row r="559" spans="1:18" x14ac:dyDescent="0.35">
      <c r="A559" s="698"/>
      <c r="B559" s="675"/>
      <c r="C559" s="677">
        <f>(B559/'Emission Factors'!$B$87)/1000</f>
        <v>0</v>
      </c>
      <c r="D559" s="677">
        <f>C559*'Emission Factors'!$B$65</f>
        <v>0</v>
      </c>
      <c r="E559" s="677">
        <f>'Emission Factors'!$C$65*$D559</f>
        <v>0</v>
      </c>
      <c r="F559" s="677">
        <f>'Emission Factors'!$D$65*$D559*0.001</f>
        <v>0</v>
      </c>
      <c r="G559" s="677">
        <f>'Emission Factors'!$E$65*$D559*0.001</f>
        <v>0</v>
      </c>
      <c r="H559" s="678">
        <f t="shared" si="76"/>
        <v>0</v>
      </c>
      <c r="I559" s="679">
        <f>D559*'Emission Factors'!$G$65*0.001</f>
        <v>0</v>
      </c>
    </row>
    <row r="560" spans="1:18" x14ac:dyDescent="0.35">
      <c r="A560" s="698"/>
      <c r="B560" s="675"/>
      <c r="C560" s="677">
        <f>(B560/'Emission Factors'!$B$87)/1000</f>
        <v>0</v>
      </c>
      <c r="D560" s="677">
        <f>C560*'Emission Factors'!$B$65</f>
        <v>0</v>
      </c>
      <c r="E560" s="677">
        <f>'Emission Factors'!$C$65*$D560</f>
        <v>0</v>
      </c>
      <c r="F560" s="677">
        <f>'Emission Factors'!$D$65*$D560*0.001</f>
        <v>0</v>
      </c>
      <c r="G560" s="677">
        <f>'Emission Factors'!$E$65*$D560*0.001</f>
        <v>0</v>
      </c>
      <c r="H560" s="678">
        <f t="shared" si="76"/>
        <v>0</v>
      </c>
      <c r="I560" s="679">
        <f>D560*'Emission Factors'!$G$65*0.001</f>
        <v>0</v>
      </c>
    </row>
    <row r="561" spans="1:36" x14ac:dyDescent="0.35">
      <c r="A561" s="698"/>
      <c r="B561" s="675"/>
      <c r="C561" s="677">
        <f>(B561/'Emission Factors'!$B$87)/1000</f>
        <v>0</v>
      </c>
      <c r="D561" s="677">
        <f>C561*'Emission Factors'!$B$65</f>
        <v>0</v>
      </c>
      <c r="E561" s="677">
        <f>'Emission Factors'!$C$65*$D561</f>
        <v>0</v>
      </c>
      <c r="F561" s="677">
        <f>'Emission Factors'!$D$65*$D561*0.001</f>
        <v>0</v>
      </c>
      <c r="G561" s="677">
        <f>'Emission Factors'!$E$65*$D561*0.001</f>
        <v>0</v>
      </c>
      <c r="H561" s="678">
        <f t="shared" si="76"/>
        <v>0</v>
      </c>
      <c r="I561" s="679">
        <f>D561*'Emission Factors'!$G$65*0.001</f>
        <v>0</v>
      </c>
    </row>
    <row r="562" spans="1:36" x14ac:dyDescent="0.35">
      <c r="A562" s="698"/>
      <c r="B562" s="675"/>
      <c r="C562" s="677">
        <f>(B562/'Emission Factors'!$B$87)/1000</f>
        <v>0</v>
      </c>
      <c r="D562" s="677">
        <f>C562*'Emission Factors'!$B$65</f>
        <v>0</v>
      </c>
      <c r="E562" s="677">
        <f>'Emission Factors'!$C$65*$D562</f>
        <v>0</v>
      </c>
      <c r="F562" s="677">
        <f>'Emission Factors'!$D$65*$D562*0.001</f>
        <v>0</v>
      </c>
      <c r="G562" s="677">
        <f>'Emission Factors'!$E$65*$D562*0.001</f>
        <v>0</v>
      </c>
      <c r="H562" s="678">
        <f t="shared" si="76"/>
        <v>0</v>
      </c>
      <c r="I562" s="679">
        <f>D562*'Emission Factors'!$G$65*0.001</f>
        <v>0</v>
      </c>
    </row>
    <row r="563" spans="1:36" x14ac:dyDescent="0.35">
      <c r="A563" s="698"/>
      <c r="B563" s="675"/>
      <c r="C563" s="677">
        <f>(B563/'Emission Factors'!$B$87)/1000</f>
        <v>0</v>
      </c>
      <c r="D563" s="677">
        <f>C563*'Emission Factors'!$B$65</f>
        <v>0</v>
      </c>
      <c r="E563" s="677">
        <f>'Emission Factors'!$C$65*$D563</f>
        <v>0</v>
      </c>
      <c r="F563" s="677">
        <f>'Emission Factors'!$D$65*$D563*0.001</f>
        <v>0</v>
      </c>
      <c r="G563" s="677">
        <f>'Emission Factors'!$E$65*$D563*0.001</f>
        <v>0</v>
      </c>
      <c r="H563" s="678">
        <f t="shared" si="76"/>
        <v>0</v>
      </c>
      <c r="I563" s="679">
        <f>D563*'Emission Factors'!$G$65*0.001</f>
        <v>0</v>
      </c>
    </row>
    <row r="564" spans="1:36" ht="16" thickBot="1" x14ac:dyDescent="0.4">
      <c r="A564" s="698"/>
      <c r="B564" s="675"/>
      <c r="C564" s="677">
        <f>(B564/'Emission Factors'!$B$87)/1000</f>
        <v>0</v>
      </c>
      <c r="D564" s="677">
        <f>C564*'Emission Factors'!$B$65</f>
        <v>0</v>
      </c>
      <c r="E564" s="677">
        <f>'Emission Factors'!$C$65*$D564</f>
        <v>0</v>
      </c>
      <c r="F564" s="677">
        <f>'Emission Factors'!$D$65*$D564*0.001</f>
        <v>0</v>
      </c>
      <c r="G564" s="677">
        <f>'Emission Factors'!$E$65*$D564*0.001</f>
        <v>0</v>
      </c>
      <c r="H564" s="695">
        <f t="shared" si="76"/>
        <v>0</v>
      </c>
      <c r="I564" s="679">
        <f>D564*'Emission Factors'!$G$65*0.001</f>
        <v>0</v>
      </c>
    </row>
    <row r="565" spans="1:36" ht="16" thickBot="1" x14ac:dyDescent="0.4">
      <c r="A565" s="693" t="s">
        <v>1764</v>
      </c>
      <c r="G565" s="684" t="s">
        <v>1699</v>
      </c>
      <c r="H565" s="685">
        <f>SUM(H555:H564)</f>
        <v>0</v>
      </c>
      <c r="I565" s="686">
        <f>SUM(I555:I564)</f>
        <v>0</v>
      </c>
    </row>
    <row r="566" spans="1:36" s="689" customFormat="1" ht="14.5" x14ac:dyDescent="0.35"/>
    <row r="567" spans="1:36" ht="46" x14ac:dyDescent="1">
      <c r="A567" s="1534" t="s">
        <v>810</v>
      </c>
      <c r="B567" s="1535"/>
      <c r="C567" s="1535"/>
      <c r="D567" s="1535"/>
      <c r="E567" s="1535"/>
      <c r="F567" s="1535"/>
      <c r="G567" s="1535"/>
      <c r="H567" s="1535"/>
      <c r="I567" s="1535"/>
      <c r="J567" s="1535"/>
      <c r="K567" s="1535"/>
      <c r="L567" s="1535"/>
      <c r="M567" s="1535"/>
      <c r="N567" s="1535"/>
      <c r="O567" s="1535"/>
      <c r="P567" s="1535"/>
      <c r="Q567" s="1535"/>
      <c r="R567" s="1535"/>
      <c r="S567" s="1535"/>
      <c r="T567" s="1535"/>
      <c r="U567" s="1535"/>
      <c r="V567" s="1535"/>
      <c r="W567" s="1535"/>
      <c r="X567" s="1535"/>
      <c r="Y567" s="1535"/>
      <c r="Z567" s="1535"/>
      <c r="AA567" s="1535"/>
      <c r="AB567" s="1535"/>
      <c r="AC567" s="1535"/>
      <c r="AD567" s="1535"/>
      <c r="AE567" s="1535"/>
      <c r="AF567" s="1535"/>
      <c r="AG567" s="1535"/>
      <c r="AH567" s="1535"/>
      <c r="AI567" s="1535"/>
      <c r="AJ567" s="1536"/>
    </row>
    <row r="569" spans="1:36" ht="18.5" x14ac:dyDescent="0.35">
      <c r="B569" s="615" t="s">
        <v>322</v>
      </c>
      <c r="C569" s="615" t="s">
        <v>323</v>
      </c>
      <c r="M569" s="635"/>
      <c r="N569" s="635"/>
      <c r="O569" s="635"/>
      <c r="P569" s="597"/>
      <c r="Q569" s="635"/>
      <c r="R569" s="597"/>
    </row>
    <row r="570" spans="1:36" ht="37" x14ac:dyDescent="0.35">
      <c r="A570" s="662"/>
      <c r="B570" s="615" t="s">
        <v>324</v>
      </c>
      <c r="C570" s="615" t="s">
        <v>324</v>
      </c>
      <c r="D570" s="1537" t="s">
        <v>811</v>
      </c>
      <c r="E570" s="1538"/>
      <c r="F570" s="1538"/>
      <c r="G570" s="1538"/>
    </row>
    <row r="571" spans="1:36" ht="18.5" x14ac:dyDescent="0.35">
      <c r="A571" s="615" t="s">
        <v>48</v>
      </c>
      <c r="B571" s="663">
        <f>SUM(H592,I606,H637)</f>
        <v>0</v>
      </c>
      <c r="C571" s="663">
        <f>SUM(I592,J606,I637)</f>
        <v>0</v>
      </c>
      <c r="D571" s="1537"/>
      <c r="E571" s="1538"/>
      <c r="F571" s="1538"/>
      <c r="G571" s="1538"/>
    </row>
    <row r="572" spans="1:36" ht="18.5" x14ac:dyDescent="0.35">
      <c r="A572" s="615" t="s">
        <v>325</v>
      </c>
      <c r="B572" s="663">
        <f>SUM(H653,H667,H683,H697)</f>
        <v>0</v>
      </c>
      <c r="C572" s="663">
        <f>SUM(I653,I667,I683,I697)</f>
        <v>0</v>
      </c>
      <c r="D572" s="1537"/>
      <c r="E572" s="1538"/>
      <c r="F572" s="1538"/>
      <c r="G572" s="1538"/>
    </row>
    <row r="573" spans="1:36" ht="18.5" x14ac:dyDescent="0.35">
      <c r="A573" s="615" t="s">
        <v>326</v>
      </c>
      <c r="B573" s="663">
        <f>SUM(H714,H728)</f>
        <v>0</v>
      </c>
      <c r="C573" s="663">
        <f>SUM(I714,I728)</f>
        <v>0</v>
      </c>
    </row>
    <row r="574" spans="1:36" ht="19" thickBot="1" x14ac:dyDescent="0.4">
      <c r="A574" s="977" t="s">
        <v>45</v>
      </c>
      <c r="B574" s="978">
        <f>SUM(H744,H759)</f>
        <v>0</v>
      </c>
      <c r="C574" s="978">
        <f>SUM(I744,I759)</f>
        <v>0</v>
      </c>
    </row>
    <row r="575" spans="1:36" ht="19" thickBot="1" x14ac:dyDescent="0.4">
      <c r="A575" s="979" t="s">
        <v>327</v>
      </c>
      <c r="B575" s="717">
        <f>SUM(B571:B574)</f>
        <v>0</v>
      </c>
      <c r="C575" s="711">
        <f>SUM(C571:C574)</f>
        <v>0</v>
      </c>
    </row>
    <row r="576" spans="1:36" x14ac:dyDescent="0.35">
      <c r="B576" s="656"/>
      <c r="M576" s="635"/>
      <c r="N576" s="635"/>
      <c r="O576" s="635"/>
      <c r="P576" s="597"/>
      <c r="Q576" s="635"/>
      <c r="R576" s="597"/>
    </row>
    <row r="577" spans="1:18" x14ac:dyDescent="0.35">
      <c r="B577" s="656"/>
      <c r="M577" s="635"/>
      <c r="N577" s="635"/>
      <c r="O577" s="635"/>
      <c r="P577" s="597"/>
      <c r="Q577" s="635"/>
      <c r="R577" s="597"/>
    </row>
    <row r="578" spans="1:18" s="664" customFormat="1" ht="36" x14ac:dyDescent="0.8">
      <c r="A578" s="1539" t="s">
        <v>1913</v>
      </c>
      <c r="B578" s="1540"/>
      <c r="C578" s="1540"/>
      <c r="D578" s="1540"/>
      <c r="E578" s="1540"/>
      <c r="F578" s="1540"/>
      <c r="G578" s="1540"/>
      <c r="H578" s="1540"/>
      <c r="I578" s="1540"/>
      <c r="J578" s="728"/>
    </row>
    <row r="579" spans="1:18" s="667" customFormat="1" ht="25.5" customHeight="1" thickBot="1" x14ac:dyDescent="0.6">
      <c r="A579" s="1474" t="s">
        <v>329</v>
      </c>
      <c r="B579" s="1475"/>
      <c r="C579" s="1476"/>
      <c r="D579" s="1477" t="s">
        <v>330</v>
      </c>
      <c r="E579" s="1478"/>
      <c r="F579" s="665"/>
      <c r="G579" s="666"/>
      <c r="H579" s="666"/>
      <c r="I579" s="666"/>
      <c r="J579" s="666"/>
      <c r="K579" s="666"/>
      <c r="L579" s="666"/>
      <c r="M579" s="666"/>
    </row>
    <row r="580" spans="1:18" ht="18.5" x14ac:dyDescent="0.45">
      <c r="E580" s="668"/>
      <c r="F580" s="668"/>
      <c r="G580" s="668"/>
      <c r="H580" s="669" t="s">
        <v>39</v>
      </c>
      <c r="I580" s="670" t="s">
        <v>68</v>
      </c>
    </row>
    <row r="581" spans="1:18" ht="110.5" customHeight="1" x14ac:dyDescent="0.35">
      <c r="A581" s="671" t="s">
        <v>331</v>
      </c>
      <c r="B581" s="671" t="s">
        <v>332</v>
      </c>
      <c r="C581" s="672" t="s">
        <v>333</v>
      </c>
      <c r="D581" s="672" t="s">
        <v>334</v>
      </c>
      <c r="E581" s="672" t="s">
        <v>1696</v>
      </c>
      <c r="F581" s="672" t="s">
        <v>1697</v>
      </c>
      <c r="G581" s="672" t="s">
        <v>1698</v>
      </c>
      <c r="H581" s="673" t="s">
        <v>1696</v>
      </c>
      <c r="I581" s="674" t="s">
        <v>1696</v>
      </c>
    </row>
    <row r="582" spans="1:18" x14ac:dyDescent="0.35">
      <c r="A582" s="675"/>
      <c r="B582" s="676"/>
      <c r="C582" s="677">
        <f t="shared" ref="C582:C590" si="77">B582/1000</f>
        <v>0</v>
      </c>
      <c r="D582" s="677">
        <f>'Emission Factors'!$B$60*C582</f>
        <v>0</v>
      </c>
      <c r="E582" s="677">
        <f>D582*'Emission Factors'!$C$60*0.001</f>
        <v>0</v>
      </c>
      <c r="F582" s="677">
        <f>D582*'Emission Factors'!$D$60*0.001</f>
        <v>0</v>
      </c>
      <c r="G582" s="677">
        <f>D582*'Emission Factors'!$E$60*0.001</f>
        <v>0</v>
      </c>
      <c r="H582" s="678">
        <f>E582+F582+G582</f>
        <v>0</v>
      </c>
      <c r="I582" s="679">
        <f>D582*'Emission Factors'!$G$60*0.001</f>
        <v>0</v>
      </c>
      <c r="K582" s="633"/>
    </row>
    <row r="583" spans="1:18" x14ac:dyDescent="0.35">
      <c r="A583" s="675"/>
      <c r="B583" s="676"/>
      <c r="C583" s="677">
        <f t="shared" si="77"/>
        <v>0</v>
      </c>
      <c r="D583" s="677">
        <f>'Emission Factors'!$B$60*C583</f>
        <v>0</v>
      </c>
      <c r="E583" s="677">
        <f>D583*'Emission Factors'!$C$60*0.001</f>
        <v>0</v>
      </c>
      <c r="F583" s="677">
        <f>D583*'Emission Factors'!$D$60*0.001</f>
        <v>0</v>
      </c>
      <c r="G583" s="677">
        <f>D583*'Emission Factors'!$E$60*0.001</f>
        <v>0</v>
      </c>
      <c r="H583" s="678">
        <f t="shared" ref="H583:H591" si="78">E583+F583+G583</f>
        <v>0</v>
      </c>
      <c r="I583" s="679">
        <f>D583*'Emission Factors'!$G$60*0.001</f>
        <v>0</v>
      </c>
    </row>
    <row r="584" spans="1:18" x14ac:dyDescent="0.35">
      <c r="A584" s="675"/>
      <c r="B584" s="676"/>
      <c r="C584" s="677">
        <f t="shared" si="77"/>
        <v>0</v>
      </c>
      <c r="D584" s="677">
        <f>'Emission Factors'!$B$60*C584</f>
        <v>0</v>
      </c>
      <c r="E584" s="677">
        <f>D584*'Emission Factors'!$C$60*0.001</f>
        <v>0</v>
      </c>
      <c r="F584" s="677">
        <f>D584*'Emission Factors'!$D$60*0.001</f>
        <v>0</v>
      </c>
      <c r="G584" s="677">
        <f>D584*'Emission Factors'!$E$60*0.001</f>
        <v>0</v>
      </c>
      <c r="H584" s="678">
        <f t="shared" si="78"/>
        <v>0</v>
      </c>
      <c r="I584" s="679">
        <f>D584*'Emission Factors'!$G$60*0.001</f>
        <v>0</v>
      </c>
    </row>
    <row r="585" spans="1:18" x14ac:dyDescent="0.35">
      <c r="A585" s="675"/>
      <c r="B585" s="676"/>
      <c r="C585" s="677">
        <f t="shared" si="77"/>
        <v>0</v>
      </c>
      <c r="D585" s="677">
        <f>'Emission Factors'!$B$60*C585</f>
        <v>0</v>
      </c>
      <c r="E585" s="677">
        <f>D585*'Emission Factors'!$C$60*0.001</f>
        <v>0</v>
      </c>
      <c r="F585" s="677">
        <f>D585*'Emission Factors'!$D$60*0.001</f>
        <v>0</v>
      </c>
      <c r="G585" s="677">
        <f>D585*'Emission Factors'!$E$60*0.001</f>
        <v>0</v>
      </c>
      <c r="H585" s="678">
        <f t="shared" si="78"/>
        <v>0</v>
      </c>
      <c r="I585" s="679">
        <f>D585*'Emission Factors'!$G$60*0.001</f>
        <v>0</v>
      </c>
    </row>
    <row r="586" spans="1:18" x14ac:dyDescent="0.35">
      <c r="A586" s="675"/>
      <c r="B586" s="676"/>
      <c r="C586" s="677">
        <f t="shared" si="77"/>
        <v>0</v>
      </c>
      <c r="D586" s="677">
        <f>'Emission Factors'!$B$60*C586</f>
        <v>0</v>
      </c>
      <c r="E586" s="677">
        <f>D586*'Emission Factors'!$C$60*0.001</f>
        <v>0</v>
      </c>
      <c r="F586" s="677">
        <f>D586*'Emission Factors'!$D$60*0.001</f>
        <v>0</v>
      </c>
      <c r="G586" s="677">
        <f>D586*'Emission Factors'!$E$60*0.001</f>
        <v>0</v>
      </c>
      <c r="H586" s="678">
        <f t="shared" si="78"/>
        <v>0</v>
      </c>
      <c r="I586" s="679">
        <f>D586*'Emission Factors'!$G$60*0.001</f>
        <v>0</v>
      </c>
    </row>
    <row r="587" spans="1:18" x14ac:dyDescent="0.35">
      <c r="A587" s="675"/>
      <c r="B587" s="676"/>
      <c r="C587" s="677">
        <f t="shared" si="77"/>
        <v>0</v>
      </c>
      <c r="D587" s="677">
        <f>'Emission Factors'!$B$60*C587</f>
        <v>0</v>
      </c>
      <c r="E587" s="677">
        <f>D587*'Emission Factors'!$C$60*0.001</f>
        <v>0</v>
      </c>
      <c r="F587" s="677">
        <f>D587*'Emission Factors'!$D$60*0.001</f>
        <v>0</v>
      </c>
      <c r="G587" s="677">
        <f>D587*'Emission Factors'!$E$60*0.001</f>
        <v>0</v>
      </c>
      <c r="H587" s="678">
        <f t="shared" si="78"/>
        <v>0</v>
      </c>
      <c r="I587" s="679">
        <f>D587*'Emission Factors'!$G$60*0.001</f>
        <v>0</v>
      </c>
    </row>
    <row r="588" spans="1:18" x14ac:dyDescent="0.35">
      <c r="A588" s="675"/>
      <c r="B588" s="676"/>
      <c r="C588" s="677">
        <f t="shared" si="77"/>
        <v>0</v>
      </c>
      <c r="D588" s="677">
        <f>'Emission Factors'!$B$60*C588</f>
        <v>0</v>
      </c>
      <c r="E588" s="677">
        <f>D588*'Emission Factors'!$C$60*0.001</f>
        <v>0</v>
      </c>
      <c r="F588" s="677">
        <f>D588*'Emission Factors'!$D$60*0.001</f>
        <v>0</v>
      </c>
      <c r="G588" s="677">
        <f>D588*'Emission Factors'!$E$60*0.001</f>
        <v>0</v>
      </c>
      <c r="H588" s="678">
        <f t="shared" si="78"/>
        <v>0</v>
      </c>
      <c r="I588" s="679">
        <f>D588*'Emission Factors'!$G$60*0.001</f>
        <v>0</v>
      </c>
    </row>
    <row r="589" spans="1:18" x14ac:dyDescent="0.35">
      <c r="A589" s="675"/>
      <c r="B589" s="676"/>
      <c r="C589" s="677">
        <f t="shared" si="77"/>
        <v>0</v>
      </c>
      <c r="D589" s="677">
        <f>'Emission Factors'!$B$60*C589</f>
        <v>0</v>
      </c>
      <c r="E589" s="677">
        <f>D589*'Emission Factors'!$C$60*0.001</f>
        <v>0</v>
      </c>
      <c r="F589" s="677">
        <f>D589*'Emission Factors'!$D$60*0.001</f>
        <v>0</v>
      </c>
      <c r="G589" s="677">
        <f>D589*'Emission Factors'!$E$60*0.001</f>
        <v>0</v>
      </c>
      <c r="H589" s="678">
        <f t="shared" si="78"/>
        <v>0</v>
      </c>
      <c r="I589" s="679">
        <f>D589*'Emission Factors'!$G$60*0.001</f>
        <v>0</v>
      </c>
    </row>
    <row r="590" spans="1:18" x14ac:dyDescent="0.35">
      <c r="A590" s="675"/>
      <c r="B590" s="676"/>
      <c r="C590" s="677">
        <f t="shared" si="77"/>
        <v>0</v>
      </c>
      <c r="D590" s="677">
        <f>'Emission Factors'!$B$60*C590</f>
        <v>0</v>
      </c>
      <c r="E590" s="677">
        <f>D590*'Emission Factors'!$C$60*0.001</f>
        <v>0</v>
      </c>
      <c r="F590" s="677">
        <f>D590*'Emission Factors'!$D$60*0.001</f>
        <v>0</v>
      </c>
      <c r="G590" s="677">
        <f>D590*'Emission Factors'!$E$60*0.001</f>
        <v>0</v>
      </c>
      <c r="H590" s="678">
        <f t="shared" si="78"/>
        <v>0</v>
      </c>
      <c r="I590" s="679">
        <f>D590*'Emission Factors'!$G$60*0.001</f>
        <v>0</v>
      </c>
    </row>
    <row r="591" spans="1:18" ht="16" thickBot="1" x14ac:dyDescent="0.4">
      <c r="A591" s="675"/>
      <c r="B591" s="676"/>
      <c r="C591" s="677">
        <f>B591/1000</f>
        <v>0</v>
      </c>
      <c r="D591" s="677">
        <f>'Emission Factors'!$B$60*C591</f>
        <v>0</v>
      </c>
      <c r="E591" s="677">
        <f>D591*'Emission Factors'!$C$60*0.001</f>
        <v>0</v>
      </c>
      <c r="F591" s="677">
        <f>D591*'Emission Factors'!$D$60*0.001</f>
        <v>0</v>
      </c>
      <c r="G591" s="677">
        <f>D591*'Emission Factors'!$E$60*0.001</f>
        <v>0</v>
      </c>
      <c r="H591" s="680">
        <f t="shared" si="78"/>
        <v>0</v>
      </c>
      <c r="I591" s="679">
        <f>D591*'Emission Factors'!$G$60*0.001</f>
        <v>0</v>
      </c>
    </row>
    <row r="592" spans="1:18" s="667" customFormat="1" ht="27" customHeight="1" thickBot="1" x14ac:dyDescent="0.6">
      <c r="A592" s="682" t="s">
        <v>335</v>
      </c>
      <c r="B592" s="683"/>
      <c r="C592" s="683"/>
      <c r="D592" s="683"/>
      <c r="E592" s="666"/>
      <c r="F592" s="683"/>
      <c r="G592" s="684" t="s">
        <v>1699</v>
      </c>
      <c r="H592" s="685">
        <f>SUM(H582:H591)</f>
        <v>0</v>
      </c>
      <c r="I592" s="686">
        <f>SUM(I582:I591)</f>
        <v>0</v>
      </c>
      <c r="J592" s="666"/>
      <c r="K592" s="666"/>
      <c r="L592" s="666"/>
      <c r="M592" s="666"/>
      <c r="N592" s="666"/>
      <c r="O592" s="683"/>
    </row>
    <row r="593" spans="1:13" s="667" customFormat="1" ht="22.5" customHeight="1" thickBot="1" x14ac:dyDescent="0.6">
      <c r="A593" s="1474" t="s">
        <v>1762</v>
      </c>
      <c r="B593" s="1475"/>
      <c r="C593" s="1476"/>
      <c r="D593" s="1477" t="s">
        <v>330</v>
      </c>
      <c r="E593" s="1478"/>
      <c r="F593" s="665"/>
      <c r="G593" s="666"/>
      <c r="H593" s="666"/>
      <c r="I593" s="666"/>
      <c r="J593" s="666"/>
      <c r="K593" s="666"/>
      <c r="L593" s="666"/>
      <c r="M593" s="666"/>
    </row>
    <row r="594" spans="1:13" ht="37" x14ac:dyDescent="0.45">
      <c r="F594" s="668"/>
      <c r="G594" s="668"/>
      <c r="H594" s="668"/>
      <c r="I594" s="669" t="s">
        <v>39</v>
      </c>
      <c r="J594" s="670" t="s">
        <v>68</v>
      </c>
    </row>
    <row r="595" spans="1:13" ht="110.5" customHeight="1" x14ac:dyDescent="0.35">
      <c r="A595" s="671" t="s">
        <v>331</v>
      </c>
      <c r="B595" s="671" t="s">
        <v>1763</v>
      </c>
      <c r="C595" s="671" t="s">
        <v>336</v>
      </c>
      <c r="D595" s="672" t="s">
        <v>333</v>
      </c>
      <c r="E595" s="672" t="s">
        <v>334</v>
      </c>
      <c r="F595" s="672" t="s">
        <v>1696</v>
      </c>
      <c r="G595" s="672" t="s">
        <v>1697</v>
      </c>
      <c r="H595" s="672" t="s">
        <v>1698</v>
      </c>
      <c r="I595" s="673" t="s">
        <v>1696</v>
      </c>
      <c r="J595" s="674" t="s">
        <v>1696</v>
      </c>
    </row>
    <row r="596" spans="1:13" x14ac:dyDescent="0.35">
      <c r="A596" s="675"/>
      <c r="B596" s="687"/>
      <c r="C596" s="688">
        <f>B596/'Emission Factors'!$B$86</f>
        <v>0</v>
      </c>
      <c r="D596" s="677">
        <f>C596/1000</f>
        <v>0</v>
      </c>
      <c r="E596" s="677">
        <f>'Emission Factors'!$B$60*D596</f>
        <v>0</v>
      </c>
      <c r="F596" s="677">
        <f>E596*'Emission Factors'!$C$60*0.001</f>
        <v>0</v>
      </c>
      <c r="G596" s="677">
        <f>E596*'Emission Factors'!$D$60*0.001</f>
        <v>0</v>
      </c>
      <c r="H596" s="677">
        <f>E596*'Emission Factors'!$E$60*0.001</f>
        <v>0</v>
      </c>
      <c r="I596" s="678">
        <f>F596+G596+H596</f>
        <v>0</v>
      </c>
      <c r="J596" s="679">
        <f>E596*'Emission Factors'!$G$60*0.001</f>
        <v>0</v>
      </c>
    </row>
    <row r="597" spans="1:13" x14ac:dyDescent="0.35">
      <c r="A597" s="675"/>
      <c r="B597" s="687"/>
      <c r="C597" s="688">
        <f>B597/'Emission Factors'!$B$86</f>
        <v>0</v>
      </c>
      <c r="D597" s="677">
        <f t="shared" ref="D597:D604" si="79">C597/1000</f>
        <v>0</v>
      </c>
      <c r="E597" s="677">
        <f>'Emission Factors'!$B$60*D597</f>
        <v>0</v>
      </c>
      <c r="F597" s="677">
        <f>E597*'Emission Factors'!$C$60*0.001</f>
        <v>0</v>
      </c>
      <c r="G597" s="677">
        <f>E597*'Emission Factors'!$D$60*0.001</f>
        <v>0</v>
      </c>
      <c r="H597" s="677">
        <f>E597*'Emission Factors'!$E$60*0.001</f>
        <v>0</v>
      </c>
      <c r="I597" s="678">
        <f t="shared" ref="I597:I605" si="80">F597+G597+H597</f>
        <v>0</v>
      </c>
      <c r="J597" s="679">
        <f>E597*'Emission Factors'!$G$60*0.001</f>
        <v>0</v>
      </c>
    </row>
    <row r="598" spans="1:13" ht="15" customHeight="1" x14ac:dyDescent="0.35">
      <c r="A598" s="675"/>
      <c r="B598" s="687"/>
      <c r="C598" s="688">
        <f>B598/'Emission Factors'!$B$86</f>
        <v>0</v>
      </c>
      <c r="D598" s="677">
        <f t="shared" si="79"/>
        <v>0</v>
      </c>
      <c r="E598" s="677">
        <f>'Emission Factors'!$B$60*D598</f>
        <v>0</v>
      </c>
      <c r="F598" s="677">
        <f>E598*'Emission Factors'!$C$60*0.001</f>
        <v>0</v>
      </c>
      <c r="G598" s="677">
        <f>E598*'Emission Factors'!$D$60*0.001</f>
        <v>0</v>
      </c>
      <c r="H598" s="677">
        <f>E598*'Emission Factors'!$E$60*0.001</f>
        <v>0</v>
      </c>
      <c r="I598" s="678">
        <f t="shared" si="80"/>
        <v>0</v>
      </c>
      <c r="J598" s="679">
        <f>E598*'Emission Factors'!$G$60*0.001</f>
        <v>0</v>
      </c>
    </row>
    <row r="599" spans="1:13" ht="15" customHeight="1" x14ac:dyDescent="0.35">
      <c r="A599" s="675"/>
      <c r="B599" s="687"/>
      <c r="C599" s="688">
        <f>B599/'Emission Factors'!$B$86</f>
        <v>0</v>
      </c>
      <c r="D599" s="677">
        <f t="shared" si="79"/>
        <v>0</v>
      </c>
      <c r="E599" s="677">
        <f>'Emission Factors'!$B$60*D599</f>
        <v>0</v>
      </c>
      <c r="F599" s="677">
        <f>E599*'Emission Factors'!$C$60*0.001</f>
        <v>0</v>
      </c>
      <c r="G599" s="677">
        <f>E599*'Emission Factors'!$D$60*0.001</f>
        <v>0</v>
      </c>
      <c r="H599" s="677">
        <f>E599*'Emission Factors'!$E$60*0.001</f>
        <v>0</v>
      </c>
      <c r="I599" s="678">
        <f t="shared" si="80"/>
        <v>0</v>
      </c>
      <c r="J599" s="679">
        <f>E599*'Emission Factors'!$G$60*0.001</f>
        <v>0</v>
      </c>
    </row>
    <row r="600" spans="1:13" ht="15" customHeight="1" x14ac:dyDescent="0.35">
      <c r="A600" s="675"/>
      <c r="B600" s="687"/>
      <c r="C600" s="688">
        <f>B600/'Emission Factors'!$B$86</f>
        <v>0</v>
      </c>
      <c r="D600" s="677">
        <f t="shared" si="79"/>
        <v>0</v>
      </c>
      <c r="E600" s="677">
        <f>'Emission Factors'!$B$60*D600</f>
        <v>0</v>
      </c>
      <c r="F600" s="677">
        <f>E600*'Emission Factors'!$C$60*0.001</f>
        <v>0</v>
      </c>
      <c r="G600" s="677">
        <f>E600*'Emission Factors'!$D$60*0.001</f>
        <v>0</v>
      </c>
      <c r="H600" s="677">
        <f>E600*'Emission Factors'!$E$60*0.001</f>
        <v>0</v>
      </c>
      <c r="I600" s="678">
        <f t="shared" si="80"/>
        <v>0</v>
      </c>
      <c r="J600" s="679">
        <f>E600*'Emission Factors'!$G$60*0.001</f>
        <v>0</v>
      </c>
    </row>
    <row r="601" spans="1:13" ht="15" customHeight="1" x14ac:dyDescent="0.35">
      <c r="A601" s="675"/>
      <c r="B601" s="687"/>
      <c r="C601" s="688">
        <f>B601/'Emission Factors'!$B$86</f>
        <v>0</v>
      </c>
      <c r="D601" s="677">
        <f t="shared" si="79"/>
        <v>0</v>
      </c>
      <c r="E601" s="677">
        <f>'Emission Factors'!$B$60*D601</f>
        <v>0</v>
      </c>
      <c r="F601" s="677">
        <f>E601*'Emission Factors'!$C$60*0.001</f>
        <v>0</v>
      </c>
      <c r="G601" s="677">
        <f>E601*'Emission Factors'!$D$60*0.001</f>
        <v>0</v>
      </c>
      <c r="H601" s="677">
        <f>E601*'Emission Factors'!$E$60*0.001</f>
        <v>0</v>
      </c>
      <c r="I601" s="678">
        <f t="shared" si="80"/>
        <v>0</v>
      </c>
      <c r="J601" s="679">
        <f>E601*'Emission Factors'!$G$60*0.001</f>
        <v>0</v>
      </c>
    </row>
    <row r="602" spans="1:13" ht="15" customHeight="1" x14ac:dyDescent="0.35">
      <c r="A602" s="675"/>
      <c r="B602" s="687"/>
      <c r="C602" s="688">
        <f>B602/'Emission Factors'!$B$86</f>
        <v>0</v>
      </c>
      <c r="D602" s="677">
        <f t="shared" si="79"/>
        <v>0</v>
      </c>
      <c r="E602" s="677">
        <f>'Emission Factors'!$B$60*D602</f>
        <v>0</v>
      </c>
      <c r="F602" s="677">
        <f>E602*'Emission Factors'!$C$60*0.001</f>
        <v>0</v>
      </c>
      <c r="G602" s="677">
        <f>E602*'Emission Factors'!$D$60*0.001</f>
        <v>0</v>
      </c>
      <c r="H602" s="677">
        <f>E602*'Emission Factors'!$E$60*0.001</f>
        <v>0</v>
      </c>
      <c r="I602" s="678">
        <f t="shared" si="80"/>
        <v>0</v>
      </c>
      <c r="J602" s="679">
        <f>E602*'Emission Factors'!$G$60*0.001</f>
        <v>0</v>
      </c>
    </row>
    <row r="603" spans="1:13" ht="15" customHeight="1" x14ac:dyDescent="0.35">
      <c r="A603" s="675"/>
      <c r="B603" s="687"/>
      <c r="C603" s="688">
        <f>B603/'Emission Factors'!$B$86</f>
        <v>0</v>
      </c>
      <c r="D603" s="677">
        <f t="shared" si="79"/>
        <v>0</v>
      </c>
      <c r="E603" s="677">
        <f>'Emission Factors'!$B$60*D603</f>
        <v>0</v>
      </c>
      <c r="F603" s="677">
        <f>E603*'Emission Factors'!$C$60*0.001</f>
        <v>0</v>
      </c>
      <c r="G603" s="677">
        <f>E603*'Emission Factors'!$D$60*0.001</f>
        <v>0</v>
      </c>
      <c r="H603" s="677">
        <f>E603*'Emission Factors'!$E$60*0.001</f>
        <v>0</v>
      </c>
      <c r="I603" s="678">
        <f t="shared" si="80"/>
        <v>0</v>
      </c>
      <c r="J603" s="679">
        <f>E603*'Emission Factors'!$G$60*0.001</f>
        <v>0</v>
      </c>
    </row>
    <row r="604" spans="1:13" ht="15" customHeight="1" x14ac:dyDescent="0.35">
      <c r="A604" s="675"/>
      <c r="B604" s="687"/>
      <c r="C604" s="688">
        <f>B604/'Emission Factors'!$B$86</f>
        <v>0</v>
      </c>
      <c r="D604" s="677">
        <f t="shared" si="79"/>
        <v>0</v>
      </c>
      <c r="E604" s="677">
        <f>'Emission Factors'!$B$60*D604</f>
        <v>0</v>
      </c>
      <c r="F604" s="677">
        <f>E604*'Emission Factors'!$C$60*0.001</f>
        <v>0</v>
      </c>
      <c r="G604" s="677">
        <f>E604*'Emission Factors'!$D$60*0.001</f>
        <v>0</v>
      </c>
      <c r="H604" s="677">
        <f>E604*'Emission Factors'!$E$60*0.001</f>
        <v>0</v>
      </c>
      <c r="I604" s="678">
        <f t="shared" si="80"/>
        <v>0</v>
      </c>
      <c r="J604" s="679">
        <f>E604*'Emission Factors'!$G$60*0.001</f>
        <v>0</v>
      </c>
    </row>
    <row r="605" spans="1:13" ht="15" customHeight="1" thickBot="1" x14ac:dyDescent="0.4">
      <c r="A605" s="675"/>
      <c r="B605" s="687"/>
      <c r="C605" s="688">
        <f>B605/'Emission Factors'!$B$86</f>
        <v>0</v>
      </c>
      <c r="D605" s="677">
        <f>C605/1000</f>
        <v>0</v>
      </c>
      <c r="E605" s="677">
        <f>'Emission Factors'!$B$60*D605</f>
        <v>0</v>
      </c>
      <c r="F605" s="677">
        <f>E605*'Emission Factors'!$C$60*0.001</f>
        <v>0</v>
      </c>
      <c r="G605" s="677">
        <f>E605*'Emission Factors'!$D$60*0.001</f>
        <v>0</v>
      </c>
      <c r="H605" s="677">
        <f>E605*'Emission Factors'!$E$60*0.001</f>
        <v>0</v>
      </c>
      <c r="I605" s="678">
        <f t="shared" si="80"/>
        <v>0</v>
      </c>
      <c r="J605" s="679">
        <f>E605*'Emission Factors'!$G$60*0.001</f>
        <v>0</v>
      </c>
    </row>
    <row r="606" spans="1:13" ht="27.75" customHeight="1" thickBot="1" x14ac:dyDescent="0.4">
      <c r="H606" s="684" t="s">
        <v>1699</v>
      </c>
      <c r="I606" s="685">
        <f>SUM(I596:I605)</f>
        <v>0</v>
      </c>
      <c r="J606" s="686">
        <f>SUM(J596:J605)</f>
        <v>0</v>
      </c>
    </row>
    <row r="607" spans="1:13" ht="23.5" x14ac:dyDescent="0.35">
      <c r="A607" s="682" t="s">
        <v>335</v>
      </c>
    </row>
    <row r="608" spans="1:13" s="664" customFormat="1" ht="36" customHeight="1" x14ac:dyDescent="0.8">
      <c r="A608" s="1531" t="s">
        <v>337</v>
      </c>
      <c r="B608" s="1532"/>
      <c r="C608" s="1532"/>
      <c r="D608" s="1532"/>
      <c r="E608" s="1532"/>
      <c r="F608" s="1533"/>
      <c r="G608" s="728"/>
    </row>
    <row r="609" spans="1:18" s="667" customFormat="1" ht="24" customHeight="1" thickBot="1" x14ac:dyDescent="0.6">
      <c r="A609" s="1474" t="s">
        <v>338</v>
      </c>
      <c r="B609" s="1475"/>
      <c r="C609" s="1476"/>
      <c r="D609" s="1477" t="s">
        <v>330</v>
      </c>
      <c r="E609" s="1478"/>
      <c r="F609" s="690"/>
      <c r="H609" s="691"/>
      <c r="I609" s="666"/>
      <c r="J609" s="666"/>
      <c r="K609" s="666"/>
      <c r="L609" s="666"/>
      <c r="M609" s="666"/>
    </row>
    <row r="610" spans="1:18" ht="18.5" x14ac:dyDescent="0.45">
      <c r="E610" s="668"/>
      <c r="F610" s="668"/>
      <c r="G610" s="668"/>
      <c r="H610" s="669" t="s">
        <v>39</v>
      </c>
      <c r="I610" s="670" t="s">
        <v>68</v>
      </c>
    </row>
    <row r="611" spans="1:18" ht="110.5" customHeight="1" x14ac:dyDescent="0.35">
      <c r="A611" s="671" t="s">
        <v>331</v>
      </c>
      <c r="B611" s="671" t="s">
        <v>339</v>
      </c>
      <c r="C611" s="671" t="s">
        <v>1702</v>
      </c>
      <c r="D611" s="672" t="s">
        <v>334</v>
      </c>
      <c r="E611" s="672" t="s">
        <v>1696</v>
      </c>
      <c r="F611" s="672" t="s">
        <v>1697</v>
      </c>
      <c r="G611" s="672" t="s">
        <v>1698</v>
      </c>
      <c r="H611" s="673" t="s">
        <v>1696</v>
      </c>
      <c r="I611" s="674" t="s">
        <v>1696</v>
      </c>
    </row>
    <row r="612" spans="1:18" x14ac:dyDescent="0.35">
      <c r="A612" s="675"/>
      <c r="B612" s="692"/>
      <c r="C612" s="677">
        <f>(B612/'Emission Factors'!$F$86)/1000</f>
        <v>0</v>
      </c>
      <c r="D612" s="677">
        <f>'Emission Factors'!$B$60*C612</f>
        <v>0</v>
      </c>
      <c r="E612" s="677">
        <f>D612*'Emission Factors'!$C$60*0.001</f>
        <v>0</v>
      </c>
      <c r="F612" s="677">
        <f>D612*'Emission Factors'!$D$60*0.001</f>
        <v>0</v>
      </c>
      <c r="G612" s="677">
        <f>D612*'Emission Factors'!$E$60*0.001</f>
        <v>0</v>
      </c>
      <c r="H612" s="678">
        <f>E612+F612+G612</f>
        <v>0</v>
      </c>
      <c r="I612" s="679">
        <f>D612*'Emission Factors'!$G$60*0.001</f>
        <v>0</v>
      </c>
    </row>
    <row r="613" spans="1:18" x14ac:dyDescent="0.35">
      <c r="A613" s="675"/>
      <c r="B613" s="692"/>
      <c r="C613" s="677">
        <f>(B613/'Emission Factors'!$F$86)/1000</f>
        <v>0</v>
      </c>
      <c r="D613" s="677">
        <f>'Emission Factors'!$B$60*C613</f>
        <v>0</v>
      </c>
      <c r="E613" s="677">
        <f>D613*'Emission Factors'!$C$60*0.001</f>
        <v>0</v>
      </c>
      <c r="F613" s="677">
        <f>D613*'Emission Factors'!$D$60*0.001</f>
        <v>0</v>
      </c>
      <c r="G613" s="677">
        <f>D613*'Emission Factors'!$E$60*0.001</f>
        <v>0</v>
      </c>
      <c r="H613" s="678">
        <f t="shared" ref="H613:H621" si="81">E613+F613+G613</f>
        <v>0</v>
      </c>
      <c r="I613" s="679">
        <f>D613*'Emission Factors'!$G$60*0.001</f>
        <v>0</v>
      </c>
    </row>
    <row r="614" spans="1:18" x14ac:dyDescent="0.35">
      <c r="A614" s="675"/>
      <c r="B614" s="692"/>
      <c r="C614" s="677">
        <f>(B614/'Emission Factors'!$F$86)/1000</f>
        <v>0</v>
      </c>
      <c r="D614" s="677">
        <f>'Emission Factors'!$B$60*C614</f>
        <v>0</v>
      </c>
      <c r="E614" s="677">
        <f>D614*'Emission Factors'!$C$60*0.001</f>
        <v>0</v>
      </c>
      <c r="F614" s="677">
        <f>D614*'Emission Factors'!$D$60*0.001</f>
        <v>0</v>
      </c>
      <c r="G614" s="677">
        <f>D614*'Emission Factors'!$E$60*0.001</f>
        <v>0</v>
      </c>
      <c r="H614" s="678">
        <f t="shared" si="81"/>
        <v>0</v>
      </c>
      <c r="I614" s="679">
        <f>D614*'Emission Factors'!$G$60*0.001</f>
        <v>0</v>
      </c>
    </row>
    <row r="615" spans="1:18" x14ac:dyDescent="0.35">
      <c r="A615" s="675"/>
      <c r="B615" s="692"/>
      <c r="C615" s="677">
        <f>(B615/'Emission Factors'!$F$86)/1000</f>
        <v>0</v>
      </c>
      <c r="D615" s="677">
        <f>'Emission Factors'!$B$60*C615</f>
        <v>0</v>
      </c>
      <c r="E615" s="677">
        <f>D615*'Emission Factors'!$C$60*0.001</f>
        <v>0</v>
      </c>
      <c r="F615" s="677">
        <f>D615*'Emission Factors'!$D$60*0.001</f>
        <v>0</v>
      </c>
      <c r="G615" s="677">
        <f>D615*'Emission Factors'!$E$60*0.001</f>
        <v>0</v>
      </c>
      <c r="H615" s="678">
        <f t="shared" si="81"/>
        <v>0</v>
      </c>
      <c r="I615" s="679">
        <f>D615*'Emission Factors'!$G$60*0.001</f>
        <v>0</v>
      </c>
    </row>
    <row r="616" spans="1:18" x14ac:dyDescent="0.35">
      <c r="A616" s="675"/>
      <c r="B616" s="692"/>
      <c r="C616" s="677">
        <f>(B616/'Emission Factors'!$F$86)/1000</f>
        <v>0</v>
      </c>
      <c r="D616" s="677">
        <f>'Emission Factors'!$B$60*C616</f>
        <v>0</v>
      </c>
      <c r="E616" s="677">
        <f>D616*'Emission Factors'!$C$60*0.001</f>
        <v>0</v>
      </c>
      <c r="F616" s="677">
        <f>D616*'Emission Factors'!$D$60*0.001</f>
        <v>0</v>
      </c>
      <c r="G616" s="677">
        <f>D616*'Emission Factors'!$E$60*0.001</f>
        <v>0</v>
      </c>
      <c r="H616" s="678">
        <f t="shared" si="81"/>
        <v>0</v>
      </c>
      <c r="I616" s="679">
        <f>D616*'Emission Factors'!$G$60*0.001</f>
        <v>0</v>
      </c>
    </row>
    <row r="617" spans="1:18" x14ac:dyDescent="0.35">
      <c r="A617" s="675"/>
      <c r="B617" s="692"/>
      <c r="C617" s="677">
        <f>(B617/'Emission Factors'!$F$86)/1000</f>
        <v>0</v>
      </c>
      <c r="D617" s="677">
        <f>'Emission Factors'!$B$60*C617</f>
        <v>0</v>
      </c>
      <c r="E617" s="677">
        <f>D617*'Emission Factors'!$C$60*0.001</f>
        <v>0</v>
      </c>
      <c r="F617" s="677">
        <f>D617*'Emission Factors'!$D$60*0.001</f>
        <v>0</v>
      </c>
      <c r="G617" s="677">
        <f>D617*'Emission Factors'!$E$60*0.001</f>
        <v>0</v>
      </c>
      <c r="H617" s="678">
        <f t="shared" si="81"/>
        <v>0</v>
      </c>
      <c r="I617" s="679">
        <f>D617*'Emission Factors'!$G$60*0.001</f>
        <v>0</v>
      </c>
    </row>
    <row r="618" spans="1:18" x14ac:dyDescent="0.35">
      <c r="A618" s="675"/>
      <c r="B618" s="692"/>
      <c r="C618" s="677">
        <f>(B618/'Emission Factors'!$F$86)/1000</f>
        <v>0</v>
      </c>
      <c r="D618" s="677">
        <f>'Emission Factors'!$B$60*C618</f>
        <v>0</v>
      </c>
      <c r="E618" s="677">
        <f>D618*'Emission Factors'!$C$60*0.001</f>
        <v>0</v>
      </c>
      <c r="F618" s="677">
        <f>D618*'Emission Factors'!$D$60*0.001</f>
        <v>0</v>
      </c>
      <c r="G618" s="677">
        <f>D618*'Emission Factors'!$E$60*0.001</f>
        <v>0</v>
      </c>
      <c r="H618" s="678">
        <f t="shared" si="81"/>
        <v>0</v>
      </c>
      <c r="I618" s="679">
        <f>D618*'Emission Factors'!$G$60*0.001</f>
        <v>0</v>
      </c>
    </row>
    <row r="619" spans="1:18" x14ac:dyDescent="0.35">
      <c r="A619" s="675"/>
      <c r="B619" s="692"/>
      <c r="C619" s="677">
        <f>(B619/'Emission Factors'!$F$86)/1000</f>
        <v>0</v>
      </c>
      <c r="D619" s="677">
        <f>'Emission Factors'!$B$60*C619</f>
        <v>0</v>
      </c>
      <c r="E619" s="677">
        <f>D619*'Emission Factors'!$C$60*0.001</f>
        <v>0</v>
      </c>
      <c r="F619" s="677">
        <f>D619*'Emission Factors'!$D$60*0.001</f>
        <v>0</v>
      </c>
      <c r="G619" s="677">
        <f>D619*'Emission Factors'!$E$60*0.001</f>
        <v>0</v>
      </c>
      <c r="H619" s="678">
        <f t="shared" si="81"/>
        <v>0</v>
      </c>
      <c r="I619" s="679">
        <f>D619*'Emission Factors'!$G$60*0.001</f>
        <v>0</v>
      </c>
    </row>
    <row r="620" spans="1:18" x14ac:dyDescent="0.35">
      <c r="A620" s="675"/>
      <c r="B620" s="692"/>
      <c r="C620" s="677">
        <f>(B620/'Emission Factors'!$F$86)/1000</f>
        <v>0</v>
      </c>
      <c r="D620" s="677">
        <f>'Emission Factors'!$B$60*C620</f>
        <v>0</v>
      </c>
      <c r="E620" s="677">
        <f>D620*'Emission Factors'!$C$60*0.001</f>
        <v>0</v>
      </c>
      <c r="F620" s="677">
        <f>D620*'Emission Factors'!$D$60*0.001</f>
        <v>0</v>
      </c>
      <c r="G620" s="677">
        <f>D620*'Emission Factors'!$E$60*0.001</f>
        <v>0</v>
      </c>
      <c r="H620" s="678">
        <f t="shared" si="81"/>
        <v>0</v>
      </c>
      <c r="I620" s="679">
        <f>D620*'Emission Factors'!$G$60*0.001</f>
        <v>0</v>
      </c>
    </row>
    <row r="621" spans="1:18" ht="16" thickBot="1" x14ac:dyDescent="0.4">
      <c r="A621" s="675"/>
      <c r="B621" s="692"/>
      <c r="C621" s="677">
        <f>(B621/'Emission Factors'!$F$86)/1000</f>
        <v>0</v>
      </c>
      <c r="D621" s="677">
        <f>'Emission Factors'!$B$60*C621</f>
        <v>0</v>
      </c>
      <c r="E621" s="677">
        <f>D621*'Emission Factors'!$C$60*0.001</f>
        <v>0</v>
      </c>
      <c r="F621" s="677">
        <f>D621*'Emission Factors'!$D$60*0.001</f>
        <v>0</v>
      </c>
      <c r="G621" s="677">
        <f>D621*'Emission Factors'!$E$60*0.001</f>
        <v>0</v>
      </c>
      <c r="H621" s="678">
        <f t="shared" si="81"/>
        <v>0</v>
      </c>
      <c r="I621" s="679">
        <f>D621*'Emission Factors'!$G$60*0.001</f>
        <v>0</v>
      </c>
    </row>
    <row r="622" spans="1:18" ht="16" thickBot="1" x14ac:dyDescent="0.4">
      <c r="A622" s="693"/>
      <c r="G622" s="684" t="s">
        <v>1699</v>
      </c>
      <c r="H622" s="685">
        <f>SUM(H612:H621)</f>
        <v>0</v>
      </c>
      <c r="I622" s="686">
        <f>SUM(I612:I621)</f>
        <v>0</v>
      </c>
    </row>
    <row r="623" spans="1:18" s="667" customFormat="1" ht="23.5" x14ac:dyDescent="0.55000000000000004"/>
    <row r="624" spans="1:18" s="667" customFormat="1" ht="24" customHeight="1" thickBot="1" x14ac:dyDescent="0.6">
      <c r="A624" s="1474" t="s">
        <v>342</v>
      </c>
      <c r="B624" s="1475"/>
      <c r="C624" s="1476"/>
      <c r="D624" s="1477" t="s">
        <v>330</v>
      </c>
      <c r="E624" s="1478"/>
      <c r="F624" s="665"/>
      <c r="G624" s="666"/>
      <c r="H624" s="666"/>
      <c r="I624" s="666"/>
      <c r="J624" s="666"/>
      <c r="K624" s="666"/>
      <c r="L624" s="666"/>
      <c r="M624" s="666"/>
      <c r="P624" s="690"/>
      <c r="R624" s="691"/>
    </row>
    <row r="625" spans="1:16" ht="18.5" x14ac:dyDescent="0.45">
      <c r="E625" s="668"/>
      <c r="F625" s="668"/>
      <c r="G625" s="668"/>
      <c r="H625" s="669" t="s">
        <v>39</v>
      </c>
      <c r="I625" s="670" t="s">
        <v>68</v>
      </c>
    </row>
    <row r="626" spans="1:16" ht="110.5" customHeight="1" x14ac:dyDescent="0.35">
      <c r="A626" s="671" t="s">
        <v>331</v>
      </c>
      <c r="B626" s="671" t="s">
        <v>339</v>
      </c>
      <c r="C626" s="671" t="s">
        <v>1702</v>
      </c>
      <c r="D626" s="672" t="s">
        <v>334</v>
      </c>
      <c r="E626" s="672" t="s">
        <v>1696</v>
      </c>
      <c r="F626" s="672" t="s">
        <v>1697</v>
      </c>
      <c r="G626" s="672" t="s">
        <v>1698</v>
      </c>
      <c r="H626" s="673" t="s">
        <v>1696</v>
      </c>
      <c r="I626" s="674" t="s">
        <v>1696</v>
      </c>
    </row>
    <row r="627" spans="1:16" x14ac:dyDescent="0.35">
      <c r="A627" s="675"/>
      <c r="B627" s="692"/>
      <c r="C627" s="677">
        <f>(B627/'Emission Factors'!$F$87)/1000</f>
        <v>0</v>
      </c>
      <c r="D627" s="677">
        <f>'Emission Factors'!$B$60*C627</f>
        <v>0</v>
      </c>
      <c r="E627" s="677">
        <f>D627*'Emission Factors'!$C$60*0.001</f>
        <v>0</v>
      </c>
      <c r="F627" s="677">
        <f>D627*'Emission Factors'!$D$60*0.001</f>
        <v>0</v>
      </c>
      <c r="G627" s="677">
        <f>D627*'Emission Factors'!$E$60*0.001</f>
        <v>0</v>
      </c>
      <c r="H627" s="678">
        <f>E627+F627+G627</f>
        <v>0</v>
      </c>
      <c r="I627" s="679">
        <f>D627*'Emission Factors'!$G$60*0.001</f>
        <v>0</v>
      </c>
    </row>
    <row r="628" spans="1:16" x14ac:dyDescent="0.35">
      <c r="A628" s="675"/>
      <c r="B628" s="692"/>
      <c r="C628" s="677">
        <f>(B628/'Emission Factors'!$F$87)/1000</f>
        <v>0</v>
      </c>
      <c r="D628" s="677">
        <f>'Emission Factors'!$B$60*C628</f>
        <v>0</v>
      </c>
      <c r="E628" s="677">
        <f>D628*'Emission Factors'!$C$60*0.001</f>
        <v>0</v>
      </c>
      <c r="F628" s="677">
        <f>D628*'Emission Factors'!$D$60*0.001</f>
        <v>0</v>
      </c>
      <c r="G628" s="677">
        <f>D628*'Emission Factors'!$E$60*0.001</f>
        <v>0</v>
      </c>
      <c r="H628" s="678">
        <f t="shared" ref="H628:H636" si="82">E628+F628+G628</f>
        <v>0</v>
      </c>
      <c r="I628" s="679">
        <f>D628*'Emission Factors'!$G$60*0.001</f>
        <v>0</v>
      </c>
    </row>
    <row r="629" spans="1:16" x14ac:dyDescent="0.35">
      <c r="A629" s="675"/>
      <c r="B629" s="692"/>
      <c r="C629" s="677">
        <f>(B629/'Emission Factors'!$F$87)/1000</f>
        <v>0</v>
      </c>
      <c r="D629" s="677">
        <f>'Emission Factors'!$B$60*C629</f>
        <v>0</v>
      </c>
      <c r="E629" s="677">
        <f>D629*'Emission Factors'!$C$60*0.001</f>
        <v>0</v>
      </c>
      <c r="F629" s="677">
        <f>D629*'Emission Factors'!$D$60*0.001</f>
        <v>0</v>
      </c>
      <c r="G629" s="677">
        <f>D629*'Emission Factors'!$E$60*0.001</f>
        <v>0</v>
      </c>
      <c r="H629" s="678">
        <f t="shared" si="82"/>
        <v>0</v>
      </c>
      <c r="I629" s="679">
        <f>D629*'Emission Factors'!$G$60*0.001</f>
        <v>0</v>
      </c>
    </row>
    <row r="630" spans="1:16" x14ac:dyDescent="0.35">
      <c r="A630" s="675"/>
      <c r="B630" s="692"/>
      <c r="C630" s="677">
        <f>(B630/'Emission Factors'!$F$87)/1000</f>
        <v>0</v>
      </c>
      <c r="D630" s="677">
        <f>'Emission Factors'!$B$60*C630</f>
        <v>0</v>
      </c>
      <c r="E630" s="677">
        <f>D630*'Emission Factors'!$C$60*0.001</f>
        <v>0</v>
      </c>
      <c r="F630" s="677">
        <f>D630*'Emission Factors'!$D$60*0.001</f>
        <v>0</v>
      </c>
      <c r="G630" s="677">
        <f>D630*'Emission Factors'!$E$60*0.001</f>
        <v>0</v>
      </c>
      <c r="H630" s="678">
        <f t="shared" si="82"/>
        <v>0</v>
      </c>
      <c r="I630" s="679">
        <f>D630*'Emission Factors'!$G$60*0.001</f>
        <v>0</v>
      </c>
    </row>
    <row r="631" spans="1:16" x14ac:dyDescent="0.35">
      <c r="A631" s="675"/>
      <c r="B631" s="692"/>
      <c r="C631" s="677">
        <f>(B631/'Emission Factors'!$F$87)/1000</f>
        <v>0</v>
      </c>
      <c r="D631" s="677">
        <f>'Emission Factors'!$B$60*C631</f>
        <v>0</v>
      </c>
      <c r="E631" s="677">
        <f>D631*'Emission Factors'!$C$60*0.001</f>
        <v>0</v>
      </c>
      <c r="F631" s="677">
        <f>D631*'Emission Factors'!$D$60*0.001</f>
        <v>0</v>
      </c>
      <c r="G631" s="677">
        <f>D631*'Emission Factors'!$E$60*0.001</f>
        <v>0</v>
      </c>
      <c r="H631" s="678">
        <f t="shared" si="82"/>
        <v>0</v>
      </c>
      <c r="I631" s="679">
        <f>D631*'Emission Factors'!$G$60*0.001</f>
        <v>0</v>
      </c>
    </row>
    <row r="632" spans="1:16" x14ac:dyDescent="0.35">
      <c r="A632" s="675"/>
      <c r="B632" s="692"/>
      <c r="C632" s="677">
        <f>(B632/'Emission Factors'!$F$87)/1000</f>
        <v>0</v>
      </c>
      <c r="D632" s="677">
        <f>'Emission Factors'!$B$60*C632</f>
        <v>0</v>
      </c>
      <c r="E632" s="677">
        <f>D632*'Emission Factors'!$C$60*0.001</f>
        <v>0</v>
      </c>
      <c r="F632" s="677">
        <f>D632*'Emission Factors'!$D$60*0.001</f>
        <v>0</v>
      </c>
      <c r="G632" s="677">
        <f>D632*'Emission Factors'!$E$60*0.001</f>
        <v>0</v>
      </c>
      <c r="H632" s="678">
        <f t="shared" si="82"/>
        <v>0</v>
      </c>
      <c r="I632" s="679">
        <f>D632*'Emission Factors'!$G$60*0.001</f>
        <v>0</v>
      </c>
    </row>
    <row r="633" spans="1:16" x14ac:dyDescent="0.35">
      <c r="A633" s="675"/>
      <c r="B633" s="692"/>
      <c r="C633" s="677">
        <f>(B633/'Emission Factors'!$F$87)/1000</f>
        <v>0</v>
      </c>
      <c r="D633" s="677">
        <f>'Emission Factors'!$B$60*C633</f>
        <v>0</v>
      </c>
      <c r="E633" s="677">
        <f>D633*'Emission Factors'!$C$60*0.001</f>
        <v>0</v>
      </c>
      <c r="F633" s="677">
        <f>D633*'Emission Factors'!$D$60*0.001</f>
        <v>0</v>
      </c>
      <c r="G633" s="677">
        <f>D633*'Emission Factors'!$E$60*0.001</f>
        <v>0</v>
      </c>
      <c r="H633" s="678">
        <f t="shared" si="82"/>
        <v>0</v>
      </c>
      <c r="I633" s="679">
        <f>D633*'Emission Factors'!$G$60*0.001</f>
        <v>0</v>
      </c>
    </row>
    <row r="634" spans="1:16" x14ac:dyDescent="0.35">
      <c r="A634" s="675"/>
      <c r="B634" s="692"/>
      <c r="C634" s="677">
        <f>(B634/'Emission Factors'!$F$87)/1000</f>
        <v>0</v>
      </c>
      <c r="D634" s="677">
        <f>'Emission Factors'!$B$60*C634</f>
        <v>0</v>
      </c>
      <c r="E634" s="677">
        <f>D634*'Emission Factors'!$C$60*0.001</f>
        <v>0</v>
      </c>
      <c r="F634" s="677">
        <f>D634*'Emission Factors'!$D$60*0.001</f>
        <v>0</v>
      </c>
      <c r="G634" s="677">
        <f>D634*'Emission Factors'!$E$60*0.001</f>
        <v>0</v>
      </c>
      <c r="H634" s="678">
        <f t="shared" si="82"/>
        <v>0</v>
      </c>
      <c r="I634" s="679">
        <f>D634*'Emission Factors'!$G$60*0.001</f>
        <v>0</v>
      </c>
    </row>
    <row r="635" spans="1:16" x14ac:dyDescent="0.35">
      <c r="A635" s="675"/>
      <c r="B635" s="692"/>
      <c r="C635" s="677">
        <f>(B635/'Emission Factors'!$F$87)/1000</f>
        <v>0</v>
      </c>
      <c r="D635" s="677">
        <f>'Emission Factors'!$B$60*C635</f>
        <v>0</v>
      </c>
      <c r="E635" s="677">
        <f>D635*'Emission Factors'!$C$60*0.001</f>
        <v>0</v>
      </c>
      <c r="F635" s="677">
        <f>D635*'Emission Factors'!$D$60*0.001</f>
        <v>0</v>
      </c>
      <c r="G635" s="677">
        <f>D635*'Emission Factors'!$E$60*0.001</f>
        <v>0</v>
      </c>
      <c r="H635" s="678">
        <f t="shared" si="82"/>
        <v>0</v>
      </c>
      <c r="I635" s="679">
        <f>D635*'Emission Factors'!$G$60*0.001</f>
        <v>0</v>
      </c>
    </row>
    <row r="636" spans="1:16" ht="16" thickBot="1" x14ac:dyDescent="0.4">
      <c r="A636" s="675"/>
      <c r="B636" s="692"/>
      <c r="C636" s="677">
        <f>(B636/'Emission Factors'!$F$87)/1000</f>
        <v>0</v>
      </c>
      <c r="D636" s="677">
        <f>'Emission Factors'!$B$60*C636</f>
        <v>0</v>
      </c>
      <c r="E636" s="677">
        <f>D636*'Emission Factors'!$C$60*0.001</f>
        <v>0</v>
      </c>
      <c r="F636" s="677">
        <f>D636*'Emission Factors'!$D$60*0.001</f>
        <v>0</v>
      </c>
      <c r="G636" s="677">
        <f>D636*'Emission Factors'!$E$60*0.001</f>
        <v>0</v>
      </c>
      <c r="H636" s="678">
        <f t="shared" si="82"/>
        <v>0</v>
      </c>
      <c r="I636" s="679">
        <f>D636*'Emission Factors'!$G$60*0.001</f>
        <v>0</v>
      </c>
    </row>
    <row r="637" spans="1:16" ht="16" thickBot="1" x14ac:dyDescent="0.4">
      <c r="A637" s="693"/>
      <c r="G637" s="684" t="s">
        <v>1699</v>
      </c>
      <c r="H637" s="685">
        <f>SUM(H627:H636)</f>
        <v>0</v>
      </c>
      <c r="I637" s="686">
        <f>SUM(I627:I636)</f>
        <v>0</v>
      </c>
    </row>
    <row r="639" spans="1:16" s="664" customFormat="1" ht="36" x14ac:dyDescent="0.8">
      <c r="A639" s="1539" t="s">
        <v>343</v>
      </c>
      <c r="B639" s="1540"/>
      <c r="C639" s="1540"/>
      <c r="D639" s="1540"/>
      <c r="E639" s="1540"/>
      <c r="F639" s="1540"/>
      <c r="G639" s="1540"/>
      <c r="H639" s="1540"/>
      <c r="I639" s="1540"/>
      <c r="J639" s="728"/>
    </row>
    <row r="640" spans="1:16" s="667" customFormat="1" ht="24" thickBot="1" x14ac:dyDescent="0.6">
      <c r="A640" s="1474" t="s">
        <v>344</v>
      </c>
      <c r="B640" s="1475"/>
      <c r="C640" s="1476"/>
      <c r="D640" s="1477" t="s">
        <v>330</v>
      </c>
      <c r="E640" s="1478"/>
      <c r="F640" s="665"/>
      <c r="G640" s="666"/>
      <c r="H640" s="666"/>
      <c r="I640" s="666"/>
      <c r="J640" s="666"/>
      <c r="K640" s="666"/>
      <c r="L640" s="666"/>
      <c r="M640" s="666"/>
      <c r="N640" s="690"/>
      <c r="P640" s="691"/>
    </row>
    <row r="641" spans="1:17" ht="18.5" x14ac:dyDescent="0.45">
      <c r="E641" s="668"/>
      <c r="F641" s="668"/>
      <c r="G641" s="668"/>
      <c r="H641" s="669" t="s">
        <v>39</v>
      </c>
      <c r="I641" s="670" t="s">
        <v>68</v>
      </c>
    </row>
    <row r="642" spans="1:17" ht="110.5" customHeight="1" x14ac:dyDescent="0.35">
      <c r="A642" s="671" t="s">
        <v>331</v>
      </c>
      <c r="B642" s="671" t="s">
        <v>345</v>
      </c>
      <c r="C642" s="672" t="s">
        <v>333</v>
      </c>
      <c r="D642" s="672" t="s">
        <v>334</v>
      </c>
      <c r="E642" s="672" t="s">
        <v>1696</v>
      </c>
      <c r="F642" s="672" t="s">
        <v>1697</v>
      </c>
      <c r="G642" s="672" t="s">
        <v>1698</v>
      </c>
      <c r="H642" s="673" t="s">
        <v>1696</v>
      </c>
      <c r="I642" s="674" t="s">
        <v>1696</v>
      </c>
    </row>
    <row r="643" spans="1:17" x14ac:dyDescent="0.35">
      <c r="A643" s="675"/>
      <c r="B643" s="694"/>
      <c r="C643" s="677">
        <f t="shared" ref="C643:C651" si="83">B643/1000</f>
        <v>0</v>
      </c>
      <c r="D643" s="677">
        <f>'Emission Factors'!$B$65*C643</f>
        <v>0</v>
      </c>
      <c r="E643" s="677">
        <f>D643*'Emission Factors'!$C$65*0.001</f>
        <v>0</v>
      </c>
      <c r="F643" s="677">
        <f>E643*'Emission Factors'!$D$65*0.001</f>
        <v>0</v>
      </c>
      <c r="G643" s="677">
        <f>F643*'Emission Factors'!$E$65*0.001</f>
        <v>0</v>
      </c>
      <c r="H643" s="678">
        <f t="shared" ref="H643:H652" si="84">E643+F643+G643</f>
        <v>0</v>
      </c>
      <c r="I643" s="679">
        <f>D643*'Emission Factors'!$G$65*0.001</f>
        <v>0</v>
      </c>
    </row>
    <row r="644" spans="1:17" x14ac:dyDescent="0.35">
      <c r="A644" s="675"/>
      <c r="B644" s="694"/>
      <c r="C644" s="677">
        <f t="shared" si="83"/>
        <v>0</v>
      </c>
      <c r="D644" s="677">
        <f>'Emission Factors'!$B$65*C644</f>
        <v>0</v>
      </c>
      <c r="E644" s="677">
        <f>D644*'Emission Factors'!$C$65*0.001</f>
        <v>0</v>
      </c>
      <c r="F644" s="677">
        <f>E644*'Emission Factors'!$D$65*0.001</f>
        <v>0</v>
      </c>
      <c r="G644" s="677">
        <f>F644*'Emission Factors'!$E$65*0.001</f>
        <v>0</v>
      </c>
      <c r="H644" s="678">
        <f t="shared" si="84"/>
        <v>0</v>
      </c>
      <c r="I644" s="679">
        <f>D644*'Emission Factors'!$G$65*0.001</f>
        <v>0</v>
      </c>
    </row>
    <row r="645" spans="1:17" x14ac:dyDescent="0.35">
      <c r="A645" s="675"/>
      <c r="B645" s="694"/>
      <c r="C645" s="677">
        <f t="shared" si="83"/>
        <v>0</v>
      </c>
      <c r="D645" s="677">
        <f>'Emission Factors'!$B$65*C645</f>
        <v>0</v>
      </c>
      <c r="E645" s="677">
        <f>D645*'Emission Factors'!$C$65*0.001</f>
        <v>0</v>
      </c>
      <c r="F645" s="677">
        <f>E645*'Emission Factors'!$D$65*0.001</f>
        <v>0</v>
      </c>
      <c r="G645" s="677">
        <f>F645*'Emission Factors'!$E$65*0.001</f>
        <v>0</v>
      </c>
      <c r="H645" s="678">
        <f t="shared" si="84"/>
        <v>0</v>
      </c>
      <c r="I645" s="679">
        <f>D645*'Emission Factors'!$G$65*0.001</f>
        <v>0</v>
      </c>
    </row>
    <row r="646" spans="1:17" x14ac:dyDescent="0.35">
      <c r="A646" s="675"/>
      <c r="B646" s="694"/>
      <c r="C646" s="677">
        <f t="shared" si="83"/>
        <v>0</v>
      </c>
      <c r="D646" s="677">
        <f>'Emission Factors'!$B$65*C646</f>
        <v>0</v>
      </c>
      <c r="E646" s="677">
        <f>D646*'Emission Factors'!$C$65*0.001</f>
        <v>0</v>
      </c>
      <c r="F646" s="677">
        <f>E646*'Emission Factors'!$D$65*0.001</f>
        <v>0</v>
      </c>
      <c r="G646" s="677">
        <f>F646*'Emission Factors'!$E$65*0.001</f>
        <v>0</v>
      </c>
      <c r="H646" s="678">
        <f t="shared" si="84"/>
        <v>0</v>
      </c>
      <c r="I646" s="679">
        <f>D646*'Emission Factors'!$G$65*0.001</f>
        <v>0</v>
      </c>
    </row>
    <row r="647" spans="1:17" x14ac:dyDescent="0.35">
      <c r="A647" s="675"/>
      <c r="B647" s="694"/>
      <c r="C647" s="677">
        <f t="shared" si="83"/>
        <v>0</v>
      </c>
      <c r="D647" s="677">
        <f>'Emission Factors'!$B$65*C647</f>
        <v>0</v>
      </c>
      <c r="E647" s="677">
        <f>D647*'Emission Factors'!$C$65*0.001</f>
        <v>0</v>
      </c>
      <c r="F647" s="677">
        <f>E647*'Emission Factors'!$D$65*0.001</f>
        <v>0</v>
      </c>
      <c r="G647" s="677">
        <f>F647*'Emission Factors'!$E$65*0.001</f>
        <v>0</v>
      </c>
      <c r="H647" s="678">
        <f t="shared" si="84"/>
        <v>0</v>
      </c>
      <c r="I647" s="679">
        <f>D647*'Emission Factors'!$G$65*0.001</f>
        <v>0</v>
      </c>
    </row>
    <row r="648" spans="1:17" x14ac:dyDescent="0.35">
      <c r="A648" s="675"/>
      <c r="B648" s="694"/>
      <c r="C648" s="677">
        <f t="shared" si="83"/>
        <v>0</v>
      </c>
      <c r="D648" s="677">
        <f>'Emission Factors'!$B$65*C648</f>
        <v>0</v>
      </c>
      <c r="E648" s="677">
        <f>D648*'Emission Factors'!$C$65*0.001</f>
        <v>0</v>
      </c>
      <c r="F648" s="677">
        <f>E648*'Emission Factors'!$D$65*0.001</f>
        <v>0</v>
      </c>
      <c r="G648" s="677">
        <f>F648*'Emission Factors'!$E$65*0.001</f>
        <v>0</v>
      </c>
      <c r="H648" s="678">
        <f t="shared" si="84"/>
        <v>0</v>
      </c>
      <c r="I648" s="679">
        <f>D648*'Emission Factors'!$G$65*0.001</f>
        <v>0</v>
      </c>
    </row>
    <row r="649" spans="1:17" x14ac:dyDescent="0.35">
      <c r="A649" s="675"/>
      <c r="B649" s="694"/>
      <c r="C649" s="677">
        <f t="shared" si="83"/>
        <v>0</v>
      </c>
      <c r="D649" s="677">
        <f>'Emission Factors'!$B$65*C649</f>
        <v>0</v>
      </c>
      <c r="E649" s="677">
        <f>D649*'Emission Factors'!$C$65*0.001</f>
        <v>0</v>
      </c>
      <c r="F649" s="677">
        <f>E649*'Emission Factors'!$D$65*0.001</f>
        <v>0</v>
      </c>
      <c r="G649" s="677">
        <f>F649*'Emission Factors'!$E$65*0.001</f>
        <v>0</v>
      </c>
      <c r="H649" s="678">
        <f t="shared" si="84"/>
        <v>0</v>
      </c>
      <c r="I649" s="679">
        <f>D649*'Emission Factors'!$G$65*0.001</f>
        <v>0</v>
      </c>
    </row>
    <row r="650" spans="1:17" x14ac:dyDescent="0.35">
      <c r="A650" s="675"/>
      <c r="B650" s="694"/>
      <c r="C650" s="677">
        <f t="shared" si="83"/>
        <v>0</v>
      </c>
      <c r="D650" s="677">
        <f>'Emission Factors'!$B$65*C650</f>
        <v>0</v>
      </c>
      <c r="E650" s="677">
        <f>D650*'Emission Factors'!$C$65*0.001</f>
        <v>0</v>
      </c>
      <c r="F650" s="677">
        <f>E650*'Emission Factors'!$D$65*0.001</f>
        <v>0</v>
      </c>
      <c r="G650" s="677">
        <f>F650*'Emission Factors'!$E$65*0.001</f>
        <v>0</v>
      </c>
      <c r="H650" s="678">
        <f t="shared" si="84"/>
        <v>0</v>
      </c>
      <c r="I650" s="679">
        <f>D650*'Emission Factors'!$G$65*0.001</f>
        <v>0</v>
      </c>
    </row>
    <row r="651" spans="1:17" x14ac:dyDescent="0.35">
      <c r="A651" s="675"/>
      <c r="B651" s="694"/>
      <c r="C651" s="677">
        <f t="shared" si="83"/>
        <v>0</v>
      </c>
      <c r="D651" s="677">
        <f>'Emission Factors'!$B$65*C651</f>
        <v>0</v>
      </c>
      <c r="E651" s="677">
        <f>D651*'Emission Factors'!$C$65*0.001</f>
        <v>0</v>
      </c>
      <c r="F651" s="677">
        <f>E651*'Emission Factors'!$D$65*0.001</f>
        <v>0</v>
      </c>
      <c r="G651" s="677">
        <f>F651*'Emission Factors'!$E$65*0.001</f>
        <v>0</v>
      </c>
      <c r="H651" s="678">
        <f t="shared" si="84"/>
        <v>0</v>
      </c>
      <c r="I651" s="679">
        <f>D651*'Emission Factors'!$G$65*0.001</f>
        <v>0</v>
      </c>
    </row>
    <row r="652" spans="1:17" ht="16" thickBot="1" x14ac:dyDescent="0.4">
      <c r="A652" s="675"/>
      <c r="B652" s="694"/>
      <c r="C652" s="677">
        <f>B652/1000</f>
        <v>0</v>
      </c>
      <c r="D652" s="677">
        <f>'Emission Factors'!$B$65*C652</f>
        <v>0</v>
      </c>
      <c r="E652" s="677">
        <f>D652*'Emission Factors'!$C$65*0.001</f>
        <v>0</v>
      </c>
      <c r="F652" s="677">
        <f>E652*'Emission Factors'!$D$65*0.001</f>
        <v>0</v>
      </c>
      <c r="G652" s="677">
        <f>F652*'Emission Factors'!$E$65*0.001</f>
        <v>0</v>
      </c>
      <c r="H652" s="695">
        <f t="shared" si="84"/>
        <v>0</v>
      </c>
      <c r="I652" s="679">
        <f>D652*'Emission Factors'!$G$65*0.001</f>
        <v>0</v>
      </c>
    </row>
    <row r="653" spans="1:17" s="667" customFormat="1" ht="24" thickBot="1" x14ac:dyDescent="0.6">
      <c r="A653" s="682" t="s">
        <v>335</v>
      </c>
      <c r="B653" s="683"/>
      <c r="C653" s="683"/>
      <c r="D653" s="683"/>
      <c r="E653" s="666"/>
      <c r="F653" s="683"/>
      <c r="G653" s="684" t="s">
        <v>1699</v>
      </c>
      <c r="H653" s="685">
        <f>SUM(H643:H652)</f>
        <v>0</v>
      </c>
      <c r="I653" s="686">
        <f>SUM(I643:I652)</f>
        <v>0</v>
      </c>
      <c r="J653" s="666"/>
      <c r="K653" s="666"/>
      <c r="L653" s="666"/>
      <c r="M653" s="666"/>
      <c r="N653" s="666"/>
      <c r="O653" s="683"/>
    </row>
    <row r="654" spans="1:17" s="667" customFormat="1" ht="23.5" customHeight="1" thickBot="1" x14ac:dyDescent="0.6">
      <c r="A654" s="1474" t="s">
        <v>1761</v>
      </c>
      <c r="B654" s="1475"/>
      <c r="C654" s="1476"/>
      <c r="D654" s="1477" t="s">
        <v>330</v>
      </c>
      <c r="E654" s="1478"/>
      <c r="F654" s="665"/>
      <c r="G654" s="666"/>
      <c r="H654" s="666"/>
      <c r="I654" s="666"/>
      <c r="J654" s="666"/>
      <c r="K654" s="666"/>
      <c r="L654" s="666"/>
      <c r="M654" s="666"/>
      <c r="O654" s="690"/>
      <c r="Q654" s="691"/>
    </row>
    <row r="655" spans="1:17" ht="18.5" x14ac:dyDescent="0.45">
      <c r="E655" s="668"/>
      <c r="F655" s="668"/>
      <c r="G655" s="668"/>
      <c r="H655" s="669" t="s">
        <v>39</v>
      </c>
      <c r="I655" s="670" t="s">
        <v>68</v>
      </c>
    </row>
    <row r="656" spans="1:17" ht="110.5" customHeight="1" x14ac:dyDescent="0.35">
      <c r="A656" s="671" t="s">
        <v>331</v>
      </c>
      <c r="B656" s="671" t="s">
        <v>1763</v>
      </c>
      <c r="C656" s="671" t="s">
        <v>346</v>
      </c>
      <c r="D656" s="672" t="s">
        <v>334</v>
      </c>
      <c r="E656" s="672" t="s">
        <v>1696</v>
      </c>
      <c r="F656" s="672" t="s">
        <v>1697</v>
      </c>
      <c r="G656" s="672" t="s">
        <v>1698</v>
      </c>
      <c r="H656" s="673" t="s">
        <v>1696</v>
      </c>
      <c r="I656" s="674" t="s">
        <v>1696</v>
      </c>
    </row>
    <row r="657" spans="1:18" x14ac:dyDescent="0.35">
      <c r="A657" s="675"/>
      <c r="B657" s="687"/>
      <c r="C657" s="688">
        <f>(B657/'Emission Factors'!$B$87)/1000</f>
        <v>0</v>
      </c>
      <c r="D657" s="677">
        <f>'Emission Factors'!$B$65*C657</f>
        <v>0</v>
      </c>
      <c r="E657" s="677">
        <f>D657*'Emission Factors'!$C$65*0.001</f>
        <v>0</v>
      </c>
      <c r="F657" s="677">
        <f>E657*'Emission Factors'!$D$65*0.001</f>
        <v>0</v>
      </c>
      <c r="G657" s="677">
        <f>F657*'Emission Factors'!$E$65*0.001</f>
        <v>0</v>
      </c>
      <c r="H657" s="678">
        <f t="shared" ref="H657:H666" si="85">E657+F657+G657</f>
        <v>0</v>
      </c>
      <c r="I657" s="679">
        <f>D657*'Emission Factors'!$G$65*0.001</f>
        <v>0</v>
      </c>
    </row>
    <row r="658" spans="1:18" x14ac:dyDescent="0.35">
      <c r="A658" s="675"/>
      <c r="B658" s="687"/>
      <c r="C658" s="688">
        <f>(B658/'Emission Factors'!$B$87)/1000</f>
        <v>0</v>
      </c>
      <c r="D658" s="677">
        <f>'Emission Factors'!$B$65*C658</f>
        <v>0</v>
      </c>
      <c r="E658" s="677">
        <f>D658*'Emission Factors'!$C$65*0.001</f>
        <v>0</v>
      </c>
      <c r="F658" s="677">
        <f>E658*'Emission Factors'!$D$65*0.001</f>
        <v>0</v>
      </c>
      <c r="G658" s="677">
        <f>F658*'Emission Factors'!$E$65*0.001</f>
        <v>0</v>
      </c>
      <c r="H658" s="678">
        <f t="shared" si="85"/>
        <v>0</v>
      </c>
      <c r="I658" s="679">
        <f>D658*'Emission Factors'!$G$65*0.001</f>
        <v>0</v>
      </c>
    </row>
    <row r="659" spans="1:18" x14ac:dyDescent="0.35">
      <c r="A659" s="675"/>
      <c r="B659" s="687"/>
      <c r="C659" s="688">
        <f>(B659/'Emission Factors'!$B$87)/1000</f>
        <v>0</v>
      </c>
      <c r="D659" s="677">
        <f>'Emission Factors'!$B$65*C659</f>
        <v>0</v>
      </c>
      <c r="E659" s="677">
        <f>D659*'Emission Factors'!$C$65*0.001</f>
        <v>0</v>
      </c>
      <c r="F659" s="677">
        <f>E659*'Emission Factors'!$D$65*0.001</f>
        <v>0</v>
      </c>
      <c r="G659" s="677">
        <f>F659*'Emission Factors'!$E$65*0.001</f>
        <v>0</v>
      </c>
      <c r="H659" s="678">
        <f t="shared" si="85"/>
        <v>0</v>
      </c>
      <c r="I659" s="679">
        <f>D659*'Emission Factors'!$G$65*0.001</f>
        <v>0</v>
      </c>
    </row>
    <row r="660" spans="1:18" x14ac:dyDescent="0.35">
      <c r="A660" s="675"/>
      <c r="B660" s="687"/>
      <c r="C660" s="688">
        <f>(B660/'Emission Factors'!$B$87)/1000</f>
        <v>0</v>
      </c>
      <c r="D660" s="677">
        <f>'Emission Factors'!$B$65*C660</f>
        <v>0</v>
      </c>
      <c r="E660" s="677">
        <f>D660*'Emission Factors'!$C$65*0.001</f>
        <v>0</v>
      </c>
      <c r="F660" s="677">
        <f>E660*'Emission Factors'!$D$65*0.001</f>
        <v>0</v>
      </c>
      <c r="G660" s="677">
        <f>F660*'Emission Factors'!$E$65*0.001</f>
        <v>0</v>
      </c>
      <c r="H660" s="678">
        <f t="shared" si="85"/>
        <v>0</v>
      </c>
      <c r="I660" s="679">
        <f>D660*'Emission Factors'!$G$65*0.001</f>
        <v>0</v>
      </c>
    </row>
    <row r="661" spans="1:18" x14ac:dyDescent="0.35">
      <c r="A661" s="675"/>
      <c r="B661" s="687"/>
      <c r="C661" s="688">
        <f>(B661/'Emission Factors'!$B$87)/1000</f>
        <v>0</v>
      </c>
      <c r="D661" s="677">
        <f>'Emission Factors'!$B$65*C661</f>
        <v>0</v>
      </c>
      <c r="E661" s="677">
        <f>D661*'Emission Factors'!$C$65*0.001</f>
        <v>0</v>
      </c>
      <c r="F661" s="677">
        <f>E661*'Emission Factors'!$D$65*0.001</f>
        <v>0</v>
      </c>
      <c r="G661" s="677">
        <f>F661*'Emission Factors'!$E$65*0.001</f>
        <v>0</v>
      </c>
      <c r="H661" s="678">
        <f t="shared" si="85"/>
        <v>0</v>
      </c>
      <c r="I661" s="679">
        <f>D661*'Emission Factors'!$G$65*0.001</f>
        <v>0</v>
      </c>
    </row>
    <row r="662" spans="1:18" x14ac:dyDescent="0.35">
      <c r="A662" s="675"/>
      <c r="B662" s="687"/>
      <c r="C662" s="688">
        <f>(B662/'Emission Factors'!$B$87)/1000</f>
        <v>0</v>
      </c>
      <c r="D662" s="677">
        <f>'Emission Factors'!$B$65*C662</f>
        <v>0</v>
      </c>
      <c r="E662" s="677">
        <f>D662*'Emission Factors'!$C$65*0.001</f>
        <v>0</v>
      </c>
      <c r="F662" s="677">
        <f>E662*'Emission Factors'!$D$65*0.001</f>
        <v>0</v>
      </c>
      <c r="G662" s="677">
        <f>F662*'Emission Factors'!$E$65*0.001</f>
        <v>0</v>
      </c>
      <c r="H662" s="678">
        <f t="shared" si="85"/>
        <v>0</v>
      </c>
      <c r="I662" s="679">
        <f>D662*'Emission Factors'!$G$65*0.001</f>
        <v>0</v>
      </c>
    </row>
    <row r="663" spans="1:18" x14ac:dyDescent="0.35">
      <c r="A663" s="675"/>
      <c r="B663" s="687"/>
      <c r="C663" s="688">
        <f>(B663/'Emission Factors'!$B$87)/1000</f>
        <v>0</v>
      </c>
      <c r="D663" s="677">
        <f>'Emission Factors'!$B$65*C663</f>
        <v>0</v>
      </c>
      <c r="E663" s="677">
        <f>D663*'Emission Factors'!$C$65*0.001</f>
        <v>0</v>
      </c>
      <c r="F663" s="677">
        <f>E663*'Emission Factors'!$D$65*0.001</f>
        <v>0</v>
      </c>
      <c r="G663" s="677">
        <f>F663*'Emission Factors'!$E$65*0.001</f>
        <v>0</v>
      </c>
      <c r="H663" s="678">
        <f t="shared" si="85"/>
        <v>0</v>
      </c>
      <c r="I663" s="679">
        <f>D663*'Emission Factors'!$G$65*0.001</f>
        <v>0</v>
      </c>
    </row>
    <row r="664" spans="1:18" x14ac:dyDescent="0.35">
      <c r="A664" s="675"/>
      <c r="B664" s="687"/>
      <c r="C664" s="688">
        <f>(B664/'Emission Factors'!$B$87)/1000</f>
        <v>0</v>
      </c>
      <c r="D664" s="677">
        <f>'Emission Factors'!$B$65*C664</f>
        <v>0</v>
      </c>
      <c r="E664" s="677">
        <f>D664*'Emission Factors'!$C$65*0.001</f>
        <v>0</v>
      </c>
      <c r="F664" s="677">
        <f>E664*'Emission Factors'!$D$65*0.001</f>
        <v>0</v>
      </c>
      <c r="G664" s="677">
        <f>F664*'Emission Factors'!$E$65*0.001</f>
        <v>0</v>
      </c>
      <c r="H664" s="678">
        <f t="shared" si="85"/>
        <v>0</v>
      </c>
      <c r="I664" s="679">
        <f>D664*'Emission Factors'!$G$65*0.001</f>
        <v>0</v>
      </c>
    </row>
    <row r="665" spans="1:18" x14ac:dyDescent="0.35">
      <c r="A665" s="675"/>
      <c r="B665" s="687"/>
      <c r="C665" s="688">
        <f>(B665/'Emission Factors'!$B$87)/1000</f>
        <v>0</v>
      </c>
      <c r="D665" s="677">
        <f>'Emission Factors'!$B$65*C665</f>
        <v>0</v>
      </c>
      <c r="E665" s="677">
        <f>D665*'Emission Factors'!$C$65*0.001</f>
        <v>0</v>
      </c>
      <c r="F665" s="677">
        <f>E665*'Emission Factors'!$D$65*0.001</f>
        <v>0</v>
      </c>
      <c r="G665" s="677">
        <f>F665*'Emission Factors'!$E$65*0.001</f>
        <v>0</v>
      </c>
      <c r="H665" s="678">
        <f t="shared" si="85"/>
        <v>0</v>
      </c>
      <c r="I665" s="679">
        <f>D665*'Emission Factors'!$G$65*0.001</f>
        <v>0</v>
      </c>
    </row>
    <row r="666" spans="1:18" ht="16" thickBot="1" x14ac:dyDescent="0.4">
      <c r="A666" s="675"/>
      <c r="B666" s="687"/>
      <c r="C666" s="688">
        <f>(B666/'Emission Factors'!$B$87)/1000</f>
        <v>0</v>
      </c>
      <c r="D666" s="677">
        <f>'Emission Factors'!$B$65*C666</f>
        <v>0</v>
      </c>
      <c r="E666" s="677">
        <f>D666*'Emission Factors'!$C$65*0.001</f>
        <v>0</v>
      </c>
      <c r="F666" s="677">
        <f>E666*'Emission Factors'!$D$65*0.001</f>
        <v>0</v>
      </c>
      <c r="G666" s="677">
        <f>F666*'Emission Factors'!$E$65*0.001</f>
        <v>0</v>
      </c>
      <c r="H666" s="695">
        <f t="shared" si="85"/>
        <v>0</v>
      </c>
      <c r="I666" s="679">
        <f>D666*'Emission Factors'!$G$65*0.001</f>
        <v>0</v>
      </c>
    </row>
    <row r="667" spans="1:18" ht="24" thickBot="1" x14ac:dyDescent="0.6">
      <c r="A667" s="693"/>
      <c r="D667" s="683"/>
      <c r="E667" s="666"/>
      <c r="F667" s="683"/>
      <c r="G667" s="684" t="s">
        <v>1699</v>
      </c>
      <c r="H667" s="685">
        <f>SUM(H657:H666)</f>
        <v>0</v>
      </c>
      <c r="I667" s="686">
        <f>SUM(I657:I666)</f>
        <v>0</v>
      </c>
      <c r="J667" s="666"/>
      <c r="K667" s="666"/>
      <c r="L667" s="666"/>
      <c r="M667" s="666"/>
      <c r="N667" s="666"/>
      <c r="O667" s="683"/>
      <c r="P667" s="667"/>
    </row>
    <row r="669" spans="1:18" s="664" customFormat="1" ht="36" x14ac:dyDescent="0.8">
      <c r="A669" s="1539" t="s">
        <v>347</v>
      </c>
      <c r="B669" s="1540"/>
      <c r="C669" s="1540"/>
      <c r="D669" s="1540"/>
      <c r="E669" s="1540"/>
      <c r="F669" s="1540"/>
      <c r="G669" s="1540"/>
      <c r="H669" s="1540"/>
      <c r="I669" s="1540"/>
      <c r="J669" s="728"/>
    </row>
    <row r="670" spans="1:18" s="667" customFormat="1" ht="23.5" customHeight="1" thickBot="1" x14ac:dyDescent="0.6">
      <c r="A670" s="1474" t="s">
        <v>348</v>
      </c>
      <c r="B670" s="1475"/>
      <c r="C670" s="1476"/>
      <c r="D670" s="1477" t="s">
        <v>330</v>
      </c>
      <c r="E670" s="1478"/>
      <c r="F670" s="665"/>
      <c r="G670" s="666"/>
      <c r="H670" s="666"/>
      <c r="I670" s="666"/>
      <c r="J670" s="666"/>
      <c r="K670" s="666"/>
      <c r="L670" s="666"/>
      <c r="M670" s="666"/>
      <c r="P670" s="690"/>
      <c r="R670" s="691"/>
    </row>
    <row r="671" spans="1:18" ht="18.5" x14ac:dyDescent="0.45">
      <c r="E671" s="668"/>
      <c r="F671" s="668"/>
      <c r="G671" s="668"/>
      <c r="H671" s="669" t="s">
        <v>39</v>
      </c>
      <c r="I671" s="670" t="s">
        <v>68</v>
      </c>
    </row>
    <row r="672" spans="1:18" ht="110.5" customHeight="1" x14ac:dyDescent="0.35">
      <c r="A672" s="671" t="s">
        <v>331</v>
      </c>
      <c r="B672" s="671" t="s">
        <v>339</v>
      </c>
      <c r="C672" s="671" t="s">
        <v>1709</v>
      </c>
      <c r="D672" s="672" t="s">
        <v>334</v>
      </c>
      <c r="E672" s="672" t="s">
        <v>1696</v>
      </c>
      <c r="F672" s="672" t="s">
        <v>1697</v>
      </c>
      <c r="G672" s="672" t="s">
        <v>1698</v>
      </c>
      <c r="H672" s="673" t="s">
        <v>1696</v>
      </c>
      <c r="I672" s="674" t="s">
        <v>1696</v>
      </c>
    </row>
    <row r="673" spans="1:18" x14ac:dyDescent="0.35">
      <c r="A673" s="675"/>
      <c r="B673" s="692"/>
      <c r="C673" s="677">
        <f>(B673/'Emission Factors'!$F$87)/1000</f>
        <v>0</v>
      </c>
      <c r="D673" s="677">
        <f>'Emission Factors'!$B$65*C673</f>
        <v>0</v>
      </c>
      <c r="E673" s="677">
        <f>D673*'Emission Factors'!$C$65*0.001</f>
        <v>0</v>
      </c>
      <c r="F673" s="677">
        <f>E673*'Emission Factors'!$D$65*0.001</f>
        <v>0</v>
      </c>
      <c r="G673" s="677">
        <f>F673*'Emission Factors'!$E$65*0.001</f>
        <v>0</v>
      </c>
      <c r="H673" s="678">
        <f t="shared" ref="H673:H682" si="86">E673+F673+G673</f>
        <v>0</v>
      </c>
      <c r="I673" s="679">
        <f>D673*'Emission Factors'!$G$65*0.001</f>
        <v>0</v>
      </c>
    </row>
    <row r="674" spans="1:18" x14ac:dyDescent="0.35">
      <c r="A674" s="675"/>
      <c r="B674" s="692"/>
      <c r="C674" s="677">
        <f>(B674/'Emission Factors'!$F$87)/1000</f>
        <v>0</v>
      </c>
      <c r="D674" s="677">
        <f>'Emission Factors'!$B$65*C674</f>
        <v>0</v>
      </c>
      <c r="E674" s="677">
        <f>D674*'Emission Factors'!$C$65*0.001</f>
        <v>0</v>
      </c>
      <c r="F674" s="677">
        <f>E674*'Emission Factors'!$D$65*0.001</f>
        <v>0</v>
      </c>
      <c r="G674" s="677">
        <f>F674*'Emission Factors'!$E$65*0.001</f>
        <v>0</v>
      </c>
      <c r="H674" s="678">
        <f t="shared" si="86"/>
        <v>0</v>
      </c>
      <c r="I674" s="679">
        <f>D674*'Emission Factors'!$G$65*0.001</f>
        <v>0</v>
      </c>
    </row>
    <row r="675" spans="1:18" x14ac:dyDescent="0.35">
      <c r="A675" s="675"/>
      <c r="B675" s="692"/>
      <c r="C675" s="677">
        <f>(B675/'Emission Factors'!$F$87)/1000</f>
        <v>0</v>
      </c>
      <c r="D675" s="677">
        <f>'Emission Factors'!$B$65*C675</f>
        <v>0</v>
      </c>
      <c r="E675" s="677">
        <f>D675*'Emission Factors'!$C$65*0.001</f>
        <v>0</v>
      </c>
      <c r="F675" s="677">
        <f>E675*'Emission Factors'!$D$65*0.001</f>
        <v>0</v>
      </c>
      <c r="G675" s="677">
        <f>F675*'Emission Factors'!$E$65*0.001</f>
        <v>0</v>
      </c>
      <c r="H675" s="678">
        <f t="shared" si="86"/>
        <v>0</v>
      </c>
      <c r="I675" s="679">
        <f>D675*'Emission Factors'!$G$65*0.001</f>
        <v>0</v>
      </c>
    </row>
    <row r="676" spans="1:18" x14ac:dyDescent="0.35">
      <c r="A676" s="675"/>
      <c r="B676" s="692"/>
      <c r="C676" s="677">
        <f>(B676/'Emission Factors'!$F$87)/1000</f>
        <v>0</v>
      </c>
      <c r="D676" s="677">
        <f>'Emission Factors'!$B$65*C676</f>
        <v>0</v>
      </c>
      <c r="E676" s="677">
        <f>D676*'Emission Factors'!$C$65*0.001</f>
        <v>0</v>
      </c>
      <c r="F676" s="677">
        <f>E676*'Emission Factors'!$D$65*0.001</f>
        <v>0</v>
      </c>
      <c r="G676" s="677">
        <f>F676*'Emission Factors'!$E$65*0.001</f>
        <v>0</v>
      </c>
      <c r="H676" s="678">
        <f t="shared" si="86"/>
        <v>0</v>
      </c>
      <c r="I676" s="679">
        <f>D676*'Emission Factors'!$G$65*0.001</f>
        <v>0</v>
      </c>
    </row>
    <row r="677" spans="1:18" x14ac:dyDescent="0.35">
      <c r="A677" s="675"/>
      <c r="B677" s="692"/>
      <c r="C677" s="677">
        <f>(B677/'Emission Factors'!$F$87)/1000</f>
        <v>0</v>
      </c>
      <c r="D677" s="677">
        <f>'Emission Factors'!$B$65*C677</f>
        <v>0</v>
      </c>
      <c r="E677" s="677">
        <f>D677*'Emission Factors'!$C$65*0.001</f>
        <v>0</v>
      </c>
      <c r="F677" s="677">
        <f>E677*'Emission Factors'!$D$65*0.001</f>
        <v>0</v>
      </c>
      <c r="G677" s="677">
        <f>F677*'Emission Factors'!$E$65*0.001</f>
        <v>0</v>
      </c>
      <c r="H677" s="678">
        <f t="shared" si="86"/>
        <v>0</v>
      </c>
      <c r="I677" s="679">
        <f>D677*'Emission Factors'!$G$65*0.001</f>
        <v>0</v>
      </c>
    </row>
    <row r="678" spans="1:18" x14ac:dyDescent="0.35">
      <c r="A678" s="675"/>
      <c r="B678" s="692"/>
      <c r="C678" s="677">
        <f>(B678/'Emission Factors'!$F$87)/1000</f>
        <v>0</v>
      </c>
      <c r="D678" s="677">
        <f>'Emission Factors'!$B$65*C678</f>
        <v>0</v>
      </c>
      <c r="E678" s="677">
        <f>D678*'Emission Factors'!$C$65*0.001</f>
        <v>0</v>
      </c>
      <c r="F678" s="677">
        <f>E678*'Emission Factors'!$D$65*0.001</f>
        <v>0</v>
      </c>
      <c r="G678" s="677">
        <f>F678*'Emission Factors'!$E$65*0.001</f>
        <v>0</v>
      </c>
      <c r="H678" s="678">
        <f t="shared" si="86"/>
        <v>0</v>
      </c>
      <c r="I678" s="679">
        <f>D678*'Emission Factors'!$G$65*0.001</f>
        <v>0</v>
      </c>
    </row>
    <row r="679" spans="1:18" x14ac:dyDescent="0.35">
      <c r="A679" s="675"/>
      <c r="B679" s="692"/>
      <c r="C679" s="677">
        <f>(B679/'Emission Factors'!$F$87)/1000</f>
        <v>0</v>
      </c>
      <c r="D679" s="677">
        <f>'Emission Factors'!$B$65*C679</f>
        <v>0</v>
      </c>
      <c r="E679" s="677">
        <f>D679*'Emission Factors'!$C$65*0.001</f>
        <v>0</v>
      </c>
      <c r="F679" s="677">
        <f>E679*'Emission Factors'!$D$65*0.001</f>
        <v>0</v>
      </c>
      <c r="G679" s="677">
        <f>F679*'Emission Factors'!$E$65*0.001</f>
        <v>0</v>
      </c>
      <c r="H679" s="678">
        <f t="shared" si="86"/>
        <v>0</v>
      </c>
      <c r="I679" s="679">
        <f>D679*'Emission Factors'!$G$65*0.001</f>
        <v>0</v>
      </c>
    </row>
    <row r="680" spans="1:18" x14ac:dyDescent="0.35">
      <c r="A680" s="675"/>
      <c r="B680" s="692"/>
      <c r="C680" s="677">
        <f>(B680/'Emission Factors'!$F$87)/1000</f>
        <v>0</v>
      </c>
      <c r="D680" s="677">
        <f>'Emission Factors'!$B$65*C680</f>
        <v>0</v>
      </c>
      <c r="E680" s="677">
        <f>D680*'Emission Factors'!$C$65*0.001</f>
        <v>0</v>
      </c>
      <c r="F680" s="677">
        <f>E680*'Emission Factors'!$D$65*0.001</f>
        <v>0</v>
      </c>
      <c r="G680" s="677">
        <f>F680*'Emission Factors'!$E$65*0.001</f>
        <v>0</v>
      </c>
      <c r="H680" s="678">
        <f t="shared" si="86"/>
        <v>0</v>
      </c>
      <c r="I680" s="679">
        <f>D680*'Emission Factors'!$G$65*0.001</f>
        <v>0</v>
      </c>
    </row>
    <row r="681" spans="1:18" x14ac:dyDescent="0.35">
      <c r="A681" s="675"/>
      <c r="B681" s="692"/>
      <c r="C681" s="677">
        <f>(B681/'Emission Factors'!$F$87)/1000</f>
        <v>0</v>
      </c>
      <c r="D681" s="677">
        <f>'Emission Factors'!$B$65*C681</f>
        <v>0</v>
      </c>
      <c r="E681" s="677">
        <f>D681*'Emission Factors'!$C$65*0.001</f>
        <v>0</v>
      </c>
      <c r="F681" s="677">
        <f>E681*'Emission Factors'!$D$65*0.001</f>
        <v>0</v>
      </c>
      <c r="G681" s="677">
        <f>F681*'Emission Factors'!$E$65*0.001</f>
        <v>0</v>
      </c>
      <c r="H681" s="678">
        <f t="shared" si="86"/>
        <v>0</v>
      </c>
      <c r="I681" s="679">
        <f>D681*'Emission Factors'!$G$65*0.001</f>
        <v>0</v>
      </c>
    </row>
    <row r="682" spans="1:18" ht="16" thickBot="1" x14ac:dyDescent="0.4">
      <c r="A682" s="675"/>
      <c r="B682" s="692"/>
      <c r="C682" s="677">
        <f>(B682/'Emission Factors'!$F$87)/1000</f>
        <v>0</v>
      </c>
      <c r="D682" s="677">
        <f>'Emission Factors'!$B$65*C682</f>
        <v>0</v>
      </c>
      <c r="E682" s="677">
        <f>D682*'Emission Factors'!$C$65*0.001</f>
        <v>0</v>
      </c>
      <c r="F682" s="677">
        <f>E682*'Emission Factors'!$D$65*0.001</f>
        <v>0</v>
      </c>
      <c r="G682" s="677">
        <f>F682*'Emission Factors'!$E$65*0.001</f>
        <v>0</v>
      </c>
      <c r="H682" s="695">
        <f t="shared" si="86"/>
        <v>0</v>
      </c>
      <c r="I682" s="679">
        <f>D682*'Emission Factors'!$G$65*0.001</f>
        <v>0</v>
      </c>
    </row>
    <row r="683" spans="1:18" s="667" customFormat="1" ht="24" thickBot="1" x14ac:dyDescent="0.6">
      <c r="A683" s="682" t="s">
        <v>335</v>
      </c>
      <c r="D683" s="683"/>
      <c r="E683" s="666"/>
      <c r="F683" s="683"/>
      <c r="G683" s="684" t="s">
        <v>1699</v>
      </c>
      <c r="H683" s="685">
        <f>SUM(H673:H682)</f>
        <v>0</v>
      </c>
      <c r="I683" s="686">
        <f>SUM(I673:I682)</f>
        <v>0</v>
      </c>
      <c r="J683" s="666"/>
      <c r="K683" s="666"/>
      <c r="L683" s="666"/>
      <c r="M683" s="666"/>
      <c r="N683" s="666"/>
      <c r="O683" s="683"/>
    </row>
    <row r="684" spans="1:18" s="667" customFormat="1" ht="23.5" customHeight="1" thickBot="1" x14ac:dyDescent="0.6">
      <c r="A684" s="1474" t="s">
        <v>349</v>
      </c>
      <c r="B684" s="1475"/>
      <c r="C684" s="1476"/>
      <c r="D684" s="1477" t="s">
        <v>330</v>
      </c>
      <c r="E684" s="1478"/>
      <c r="F684" s="665"/>
      <c r="G684" s="666"/>
      <c r="H684" s="666"/>
      <c r="I684" s="666"/>
      <c r="J684" s="666"/>
      <c r="K684" s="666"/>
      <c r="L684" s="666"/>
      <c r="M684" s="666"/>
      <c r="P684" s="690"/>
      <c r="R684" s="691"/>
    </row>
    <row r="685" spans="1:18" ht="18.5" x14ac:dyDescent="0.45">
      <c r="E685" s="668"/>
      <c r="F685" s="668"/>
      <c r="G685" s="668"/>
      <c r="H685" s="669" t="s">
        <v>39</v>
      </c>
      <c r="I685" s="670" t="s">
        <v>68</v>
      </c>
    </row>
    <row r="686" spans="1:18" ht="110.5" customHeight="1" x14ac:dyDescent="0.35">
      <c r="A686" s="671" t="s">
        <v>331</v>
      </c>
      <c r="B686" s="671" t="s">
        <v>339</v>
      </c>
      <c r="C686" s="671" t="s">
        <v>1709</v>
      </c>
      <c r="D686" s="672" t="s">
        <v>334</v>
      </c>
      <c r="E686" s="672" t="s">
        <v>1696</v>
      </c>
      <c r="F686" s="672" t="s">
        <v>1697</v>
      </c>
      <c r="G686" s="672" t="s">
        <v>1698</v>
      </c>
      <c r="H686" s="673" t="s">
        <v>1696</v>
      </c>
      <c r="I686" s="674" t="s">
        <v>1696</v>
      </c>
    </row>
    <row r="687" spans="1:18" x14ac:dyDescent="0.35">
      <c r="A687" s="675"/>
      <c r="B687" s="692"/>
      <c r="C687" s="677">
        <f>(B687/'Emission Factors'!$F$88)/1000</f>
        <v>0</v>
      </c>
      <c r="D687" s="677">
        <f>'Emission Factors'!$B$65*C687</f>
        <v>0</v>
      </c>
      <c r="E687" s="677">
        <f>D687*'Emission Factors'!$C$65*0.001</f>
        <v>0</v>
      </c>
      <c r="F687" s="677">
        <f>E687*'Emission Factors'!$D$65*0.001</f>
        <v>0</v>
      </c>
      <c r="G687" s="677">
        <f>F687*'Emission Factors'!$E$65*0.001</f>
        <v>0</v>
      </c>
      <c r="H687" s="678">
        <f t="shared" ref="H687:H696" si="87">E687+F687+G687</f>
        <v>0</v>
      </c>
      <c r="I687" s="679">
        <f>D687*'Emission Factors'!$G$65*0.001</f>
        <v>0</v>
      </c>
    </row>
    <row r="688" spans="1:18" x14ac:dyDescent="0.35">
      <c r="A688" s="675"/>
      <c r="B688" s="692"/>
      <c r="C688" s="677">
        <f>(B688/'Emission Factors'!$F$88)/1000</f>
        <v>0</v>
      </c>
      <c r="D688" s="677">
        <f>'Emission Factors'!$B$65*C688</f>
        <v>0</v>
      </c>
      <c r="E688" s="677">
        <f>D688*'Emission Factors'!$C$65*0.001</f>
        <v>0</v>
      </c>
      <c r="F688" s="677">
        <f>E688*'Emission Factors'!$D$65*0.001</f>
        <v>0</v>
      </c>
      <c r="G688" s="677">
        <f>F688*'Emission Factors'!$E$65*0.001</f>
        <v>0</v>
      </c>
      <c r="H688" s="678">
        <f t="shared" si="87"/>
        <v>0</v>
      </c>
      <c r="I688" s="679">
        <f>D688*'Emission Factors'!$G$65*0.001</f>
        <v>0</v>
      </c>
    </row>
    <row r="689" spans="1:18" x14ac:dyDescent="0.35">
      <c r="A689" s="675"/>
      <c r="B689" s="692"/>
      <c r="C689" s="677">
        <f>(B689/'Emission Factors'!$F$88)/1000</f>
        <v>0</v>
      </c>
      <c r="D689" s="677">
        <f>'Emission Factors'!$B$65*C689</f>
        <v>0</v>
      </c>
      <c r="E689" s="677">
        <f>D689*'Emission Factors'!$C$65*0.001</f>
        <v>0</v>
      </c>
      <c r="F689" s="677">
        <f>E689*'Emission Factors'!$D$65*0.001</f>
        <v>0</v>
      </c>
      <c r="G689" s="677">
        <f>F689*'Emission Factors'!$E$65*0.001</f>
        <v>0</v>
      </c>
      <c r="H689" s="678">
        <f t="shared" si="87"/>
        <v>0</v>
      </c>
      <c r="I689" s="679">
        <f>D689*'Emission Factors'!$G$65*0.001</f>
        <v>0</v>
      </c>
    </row>
    <row r="690" spans="1:18" x14ac:dyDescent="0.35">
      <c r="A690" s="675"/>
      <c r="B690" s="692"/>
      <c r="C690" s="677">
        <f>(B690/'Emission Factors'!$F$88)/1000</f>
        <v>0</v>
      </c>
      <c r="D690" s="677">
        <f>'Emission Factors'!$B$65*C690</f>
        <v>0</v>
      </c>
      <c r="E690" s="677">
        <f>D690*'Emission Factors'!$C$65*0.001</f>
        <v>0</v>
      </c>
      <c r="F690" s="677">
        <f>E690*'Emission Factors'!$D$65*0.001</f>
        <v>0</v>
      </c>
      <c r="G690" s="677">
        <f>F690*'Emission Factors'!$E$65*0.001</f>
        <v>0</v>
      </c>
      <c r="H690" s="678">
        <f t="shared" si="87"/>
        <v>0</v>
      </c>
      <c r="I690" s="679">
        <f>D690*'Emission Factors'!$G$65*0.001</f>
        <v>0</v>
      </c>
    </row>
    <row r="691" spans="1:18" x14ac:dyDescent="0.35">
      <c r="A691" s="675"/>
      <c r="B691" s="692"/>
      <c r="C691" s="677">
        <f>(B691/'Emission Factors'!$F$88)/1000</f>
        <v>0</v>
      </c>
      <c r="D691" s="677">
        <f>'Emission Factors'!$B$65*C691</f>
        <v>0</v>
      </c>
      <c r="E691" s="677">
        <f>D691*'Emission Factors'!$C$65*0.001</f>
        <v>0</v>
      </c>
      <c r="F691" s="677">
        <f>E691*'Emission Factors'!$D$65*0.001</f>
        <v>0</v>
      </c>
      <c r="G691" s="677">
        <f>F691*'Emission Factors'!$E$65*0.001</f>
        <v>0</v>
      </c>
      <c r="H691" s="678">
        <f t="shared" si="87"/>
        <v>0</v>
      </c>
      <c r="I691" s="679">
        <f>D691*'Emission Factors'!$G$65*0.001</f>
        <v>0</v>
      </c>
    </row>
    <row r="692" spans="1:18" x14ac:dyDescent="0.35">
      <c r="A692" s="675"/>
      <c r="B692" s="692"/>
      <c r="C692" s="677">
        <f>(B692/'Emission Factors'!$F$88)/1000</f>
        <v>0</v>
      </c>
      <c r="D692" s="677">
        <f>'Emission Factors'!$B$65*C692</f>
        <v>0</v>
      </c>
      <c r="E692" s="677">
        <f>D692*'Emission Factors'!$C$65*0.001</f>
        <v>0</v>
      </c>
      <c r="F692" s="677">
        <f>E692*'Emission Factors'!$D$65*0.001</f>
        <v>0</v>
      </c>
      <c r="G692" s="677">
        <f>F692*'Emission Factors'!$E$65*0.001</f>
        <v>0</v>
      </c>
      <c r="H692" s="678">
        <f t="shared" si="87"/>
        <v>0</v>
      </c>
      <c r="I692" s="679">
        <f>D692*'Emission Factors'!$G$65*0.001</f>
        <v>0</v>
      </c>
    </row>
    <row r="693" spans="1:18" x14ac:dyDescent="0.35">
      <c r="A693" s="675"/>
      <c r="B693" s="692"/>
      <c r="C693" s="677">
        <f>(B693/'Emission Factors'!$F$88)/1000</f>
        <v>0</v>
      </c>
      <c r="D693" s="677">
        <f>'Emission Factors'!$B$65*C693</f>
        <v>0</v>
      </c>
      <c r="E693" s="677">
        <f>D693*'Emission Factors'!$C$65*0.001</f>
        <v>0</v>
      </c>
      <c r="F693" s="677">
        <f>E693*'Emission Factors'!$D$65*0.001</f>
        <v>0</v>
      </c>
      <c r="G693" s="677">
        <f>F693*'Emission Factors'!$E$65*0.001</f>
        <v>0</v>
      </c>
      <c r="H693" s="678">
        <f t="shared" si="87"/>
        <v>0</v>
      </c>
      <c r="I693" s="679">
        <f>D693*'Emission Factors'!$G$65*0.001</f>
        <v>0</v>
      </c>
    </row>
    <row r="694" spans="1:18" x14ac:dyDescent="0.35">
      <c r="A694" s="675"/>
      <c r="B694" s="692"/>
      <c r="C694" s="677">
        <f>(B694/'Emission Factors'!$F$88)/1000</f>
        <v>0</v>
      </c>
      <c r="D694" s="677">
        <f>'Emission Factors'!$B$65*C694</f>
        <v>0</v>
      </c>
      <c r="E694" s="677">
        <f>D694*'Emission Factors'!$C$65*0.001</f>
        <v>0</v>
      </c>
      <c r="F694" s="677">
        <f>E694*'Emission Factors'!$D$65*0.001</f>
        <v>0</v>
      </c>
      <c r="G694" s="677">
        <f>F694*'Emission Factors'!$E$65*0.001</f>
        <v>0</v>
      </c>
      <c r="H694" s="678">
        <f t="shared" si="87"/>
        <v>0</v>
      </c>
      <c r="I694" s="679">
        <f>D694*'Emission Factors'!$G$65*0.001</f>
        <v>0</v>
      </c>
    </row>
    <row r="695" spans="1:18" x14ac:dyDescent="0.35">
      <c r="A695" s="675"/>
      <c r="B695" s="692"/>
      <c r="C695" s="677">
        <f>(B695/'Emission Factors'!$F$88)/1000</f>
        <v>0</v>
      </c>
      <c r="D695" s="677">
        <f>'Emission Factors'!$B$65*C695</f>
        <v>0</v>
      </c>
      <c r="E695" s="677">
        <f>D695*'Emission Factors'!$C$65*0.001</f>
        <v>0</v>
      </c>
      <c r="F695" s="677">
        <f>E695*'Emission Factors'!$D$65*0.001</f>
        <v>0</v>
      </c>
      <c r="G695" s="677">
        <f>F695*'Emission Factors'!$E$65*0.001</f>
        <v>0</v>
      </c>
      <c r="H695" s="678">
        <f t="shared" si="87"/>
        <v>0</v>
      </c>
      <c r="I695" s="679">
        <f>D695*'Emission Factors'!$G$65*0.001</f>
        <v>0</v>
      </c>
    </row>
    <row r="696" spans="1:18" ht="16" thickBot="1" x14ac:dyDescent="0.4">
      <c r="A696" s="675"/>
      <c r="B696" s="692"/>
      <c r="C696" s="677">
        <f>(B696/'Emission Factors'!$F$88)/1000</f>
        <v>0</v>
      </c>
      <c r="D696" s="677">
        <f>'Emission Factors'!$B$65*C696</f>
        <v>0</v>
      </c>
      <c r="E696" s="677">
        <f>D696*'Emission Factors'!$C$65*0.001</f>
        <v>0</v>
      </c>
      <c r="F696" s="677">
        <f>E696*'Emission Factors'!$D$65*0.001</f>
        <v>0</v>
      </c>
      <c r="G696" s="677">
        <f>F696*'Emission Factors'!$E$65*0.001</f>
        <v>0</v>
      </c>
      <c r="H696" s="695">
        <f t="shared" si="87"/>
        <v>0</v>
      </c>
      <c r="I696" s="679">
        <f>D696*'Emission Factors'!$G$65*0.001</f>
        <v>0</v>
      </c>
    </row>
    <row r="697" spans="1:18" ht="24" thickBot="1" x14ac:dyDescent="0.6">
      <c r="A697" s="693"/>
      <c r="D697" s="683"/>
      <c r="E697" s="666"/>
      <c r="F697" s="683"/>
      <c r="G697" s="684" t="s">
        <v>1699</v>
      </c>
      <c r="H697" s="685">
        <f>SUM(H687:H696)</f>
        <v>0</v>
      </c>
      <c r="I697" s="686">
        <f>SUM(I687:I696)</f>
        <v>0</v>
      </c>
      <c r="J697" s="666"/>
      <c r="K697" s="666"/>
      <c r="L697" s="666"/>
      <c r="M697" s="666"/>
      <c r="N697" s="666"/>
      <c r="O697" s="683"/>
      <c r="P697" s="667"/>
    </row>
    <row r="698" spans="1:18" x14ac:dyDescent="0.35">
      <c r="A698" s="693" t="s">
        <v>350</v>
      </c>
    </row>
    <row r="700" spans="1:18" s="664" customFormat="1" ht="36" x14ac:dyDescent="0.8">
      <c r="A700" s="1539" t="s">
        <v>351</v>
      </c>
      <c r="B700" s="1540"/>
      <c r="C700" s="1540"/>
      <c r="D700" s="1540"/>
      <c r="E700" s="1540"/>
      <c r="F700" s="1540"/>
      <c r="G700" s="1540"/>
      <c r="H700" s="1540"/>
      <c r="I700" s="1540"/>
      <c r="J700" s="728"/>
    </row>
    <row r="701" spans="1:18" s="667" customFormat="1" ht="23.5" customHeight="1" thickBot="1" x14ac:dyDescent="0.6">
      <c r="A701" s="1474" t="s">
        <v>352</v>
      </c>
      <c r="B701" s="1475"/>
      <c r="C701" s="1476"/>
      <c r="D701" s="1477" t="s">
        <v>330</v>
      </c>
      <c r="E701" s="1478"/>
      <c r="F701" s="665"/>
      <c r="G701" s="666"/>
      <c r="H701" s="666"/>
      <c r="I701" s="666"/>
      <c r="J701" s="666"/>
      <c r="K701" s="666"/>
      <c r="L701" s="666"/>
      <c r="M701" s="666"/>
      <c r="P701" s="690"/>
      <c r="R701" s="691"/>
    </row>
    <row r="702" spans="1:18" ht="18.5" x14ac:dyDescent="0.45">
      <c r="E702" s="668"/>
      <c r="F702" s="668"/>
      <c r="G702" s="668"/>
      <c r="H702" s="669" t="s">
        <v>39</v>
      </c>
      <c r="I702" s="670" t="s">
        <v>68</v>
      </c>
    </row>
    <row r="703" spans="1:18" ht="110.5" customHeight="1" x14ac:dyDescent="0.35">
      <c r="A703" s="671" t="s">
        <v>331</v>
      </c>
      <c r="B703" s="671" t="s">
        <v>353</v>
      </c>
      <c r="C703" s="672" t="s">
        <v>333</v>
      </c>
      <c r="D703" s="672" t="s">
        <v>334</v>
      </c>
      <c r="E703" s="672" t="s">
        <v>1696</v>
      </c>
      <c r="F703" s="672" t="s">
        <v>1697</v>
      </c>
      <c r="G703" s="672" t="s">
        <v>1698</v>
      </c>
      <c r="H703" s="673" t="s">
        <v>1696</v>
      </c>
      <c r="I703" s="674" t="s">
        <v>1696</v>
      </c>
      <c r="Q703" s="696"/>
    </row>
    <row r="704" spans="1:18" x14ac:dyDescent="0.35">
      <c r="A704" s="675"/>
      <c r="B704" s="694"/>
      <c r="C704" s="677">
        <f>B704/1000</f>
        <v>0</v>
      </c>
      <c r="D704" s="677">
        <f>'Emission Factors'!$B$65*C704</f>
        <v>0</v>
      </c>
      <c r="E704" s="677">
        <f>D704*'Emission Factors'!$C$65*0.001</f>
        <v>0</v>
      </c>
      <c r="F704" s="677">
        <f>E704*'Emission Factors'!$D$65*0.001</f>
        <v>0</v>
      </c>
      <c r="G704" s="677">
        <f>F704*'Emission Factors'!$E$65*0.001</f>
        <v>0</v>
      </c>
      <c r="H704" s="678">
        <f t="shared" ref="H704:H713" si="88">E704+F704+G704</f>
        <v>0</v>
      </c>
      <c r="I704" s="679">
        <f>D704*'Emission Factors'!$G$65*0.001</f>
        <v>0</v>
      </c>
    </row>
    <row r="705" spans="1:16" x14ac:dyDescent="0.35">
      <c r="A705" s="675"/>
      <c r="B705" s="694"/>
      <c r="C705" s="677">
        <f t="shared" ref="C705:C712" si="89">B705/1000</f>
        <v>0</v>
      </c>
      <c r="D705" s="677">
        <f>'Emission Factors'!$B$65*C705</f>
        <v>0</v>
      </c>
      <c r="E705" s="677">
        <f>D705*'Emission Factors'!$C$65*0.001</f>
        <v>0</v>
      </c>
      <c r="F705" s="677">
        <f>E705*'Emission Factors'!$D$65*0.001</f>
        <v>0</v>
      </c>
      <c r="G705" s="677">
        <f>F705*'Emission Factors'!$E$65*0.001</f>
        <v>0</v>
      </c>
      <c r="H705" s="678">
        <f t="shared" si="88"/>
        <v>0</v>
      </c>
      <c r="I705" s="679">
        <f>D705*'Emission Factors'!$G$65*0.001</f>
        <v>0</v>
      </c>
    </row>
    <row r="706" spans="1:16" x14ac:dyDescent="0.35">
      <c r="A706" s="675"/>
      <c r="B706" s="694"/>
      <c r="C706" s="677">
        <f t="shared" si="89"/>
        <v>0</v>
      </c>
      <c r="D706" s="677">
        <f>'Emission Factors'!$B$65*C706</f>
        <v>0</v>
      </c>
      <c r="E706" s="677">
        <f>D706*'Emission Factors'!$C$65*0.001</f>
        <v>0</v>
      </c>
      <c r="F706" s="677">
        <f>E706*'Emission Factors'!$D$65*0.001</f>
        <v>0</v>
      </c>
      <c r="G706" s="677">
        <f>F706*'Emission Factors'!$E$65*0.001</f>
        <v>0</v>
      </c>
      <c r="H706" s="678">
        <f t="shared" si="88"/>
        <v>0</v>
      </c>
      <c r="I706" s="679">
        <f>D706*'Emission Factors'!$G$65*0.001</f>
        <v>0</v>
      </c>
    </row>
    <row r="707" spans="1:16" x14ac:dyDescent="0.35">
      <c r="A707" s="675"/>
      <c r="B707" s="694"/>
      <c r="C707" s="677">
        <f t="shared" si="89"/>
        <v>0</v>
      </c>
      <c r="D707" s="677">
        <f>'Emission Factors'!$B$65*C707</f>
        <v>0</v>
      </c>
      <c r="E707" s="677">
        <f>D707*'Emission Factors'!$C$65*0.001</f>
        <v>0</v>
      </c>
      <c r="F707" s="677">
        <f>E707*'Emission Factors'!$D$65*0.001</f>
        <v>0</v>
      </c>
      <c r="G707" s="677">
        <f>F707*'Emission Factors'!$E$65*0.001</f>
        <v>0</v>
      </c>
      <c r="H707" s="678">
        <f t="shared" si="88"/>
        <v>0</v>
      </c>
      <c r="I707" s="679">
        <f>D707*'Emission Factors'!$G$65*0.001</f>
        <v>0</v>
      </c>
    </row>
    <row r="708" spans="1:16" x14ac:dyDescent="0.35">
      <c r="A708" s="675"/>
      <c r="B708" s="694"/>
      <c r="C708" s="677">
        <f t="shared" si="89"/>
        <v>0</v>
      </c>
      <c r="D708" s="677">
        <f>'Emission Factors'!$B$65*C708</f>
        <v>0</v>
      </c>
      <c r="E708" s="677">
        <f>D708*'Emission Factors'!$C$65*0.001</f>
        <v>0</v>
      </c>
      <c r="F708" s="677">
        <f>E708*'Emission Factors'!$D$65*0.001</f>
        <v>0</v>
      </c>
      <c r="G708" s="677">
        <f>F708*'Emission Factors'!$E$65*0.001</f>
        <v>0</v>
      </c>
      <c r="H708" s="678">
        <f t="shared" si="88"/>
        <v>0</v>
      </c>
      <c r="I708" s="679">
        <f>D708*'Emission Factors'!$G$65*0.001</f>
        <v>0</v>
      </c>
    </row>
    <row r="709" spans="1:16" x14ac:dyDescent="0.35">
      <c r="A709" s="675"/>
      <c r="B709" s="694"/>
      <c r="C709" s="677">
        <f t="shared" si="89"/>
        <v>0</v>
      </c>
      <c r="D709" s="677">
        <f>'Emission Factors'!$B$65*C709</f>
        <v>0</v>
      </c>
      <c r="E709" s="677">
        <f>D709*'Emission Factors'!$C$65*0.001</f>
        <v>0</v>
      </c>
      <c r="F709" s="677">
        <f>E709*'Emission Factors'!$D$65*0.001</f>
        <v>0</v>
      </c>
      <c r="G709" s="677">
        <f>F709*'Emission Factors'!$E$65*0.001</f>
        <v>0</v>
      </c>
      <c r="H709" s="678">
        <f t="shared" si="88"/>
        <v>0</v>
      </c>
      <c r="I709" s="679">
        <f>D709*'Emission Factors'!$G$65*0.001</f>
        <v>0</v>
      </c>
    </row>
    <row r="710" spans="1:16" x14ac:dyDescent="0.35">
      <c r="A710" s="675"/>
      <c r="B710" s="694"/>
      <c r="C710" s="677">
        <f t="shared" si="89"/>
        <v>0</v>
      </c>
      <c r="D710" s="677">
        <f>'Emission Factors'!$B$65*C710</f>
        <v>0</v>
      </c>
      <c r="E710" s="677">
        <f>D710*'Emission Factors'!$C$65*0.001</f>
        <v>0</v>
      </c>
      <c r="F710" s="677">
        <f>E710*'Emission Factors'!$D$65*0.001</f>
        <v>0</v>
      </c>
      <c r="G710" s="677">
        <f>F710*'Emission Factors'!$E$65*0.001</f>
        <v>0</v>
      </c>
      <c r="H710" s="678">
        <f t="shared" si="88"/>
        <v>0</v>
      </c>
      <c r="I710" s="679">
        <f>D710*'Emission Factors'!$G$65*0.001</f>
        <v>0</v>
      </c>
    </row>
    <row r="711" spans="1:16" x14ac:dyDescent="0.35">
      <c r="A711" s="675"/>
      <c r="B711" s="694"/>
      <c r="C711" s="677">
        <f t="shared" si="89"/>
        <v>0</v>
      </c>
      <c r="D711" s="677">
        <f>'Emission Factors'!$B$65*C711</f>
        <v>0</v>
      </c>
      <c r="E711" s="677">
        <f>D711*'Emission Factors'!$C$65*0.001</f>
        <v>0</v>
      </c>
      <c r="F711" s="677">
        <f>E711*'Emission Factors'!$D$65*0.001</f>
        <v>0</v>
      </c>
      <c r="G711" s="677">
        <f>F711*'Emission Factors'!$E$65*0.001</f>
        <v>0</v>
      </c>
      <c r="H711" s="678">
        <f t="shared" si="88"/>
        <v>0</v>
      </c>
      <c r="I711" s="679">
        <f>D711*'Emission Factors'!$G$65*0.001</f>
        <v>0</v>
      </c>
    </row>
    <row r="712" spans="1:16" x14ac:dyDescent="0.35">
      <c r="A712" s="675"/>
      <c r="B712" s="694"/>
      <c r="C712" s="677">
        <f t="shared" si="89"/>
        <v>0</v>
      </c>
      <c r="D712" s="677">
        <f>'Emission Factors'!$B$65*C712</f>
        <v>0</v>
      </c>
      <c r="E712" s="677">
        <f>D712*'Emission Factors'!$C$65*0.001</f>
        <v>0</v>
      </c>
      <c r="F712" s="677">
        <f>E712*'Emission Factors'!$D$65*0.001</f>
        <v>0</v>
      </c>
      <c r="G712" s="677">
        <f>F712*'Emission Factors'!$E$65*0.001</f>
        <v>0</v>
      </c>
      <c r="H712" s="678">
        <f t="shared" si="88"/>
        <v>0</v>
      </c>
      <c r="I712" s="679">
        <f>D712*'Emission Factors'!$G$65*0.001</f>
        <v>0</v>
      </c>
    </row>
    <row r="713" spans="1:16" ht="16" thickBot="1" x14ac:dyDescent="0.4">
      <c r="A713" s="675"/>
      <c r="B713" s="694"/>
      <c r="C713" s="677">
        <f>B713/1000</f>
        <v>0</v>
      </c>
      <c r="D713" s="677">
        <f>'Emission Factors'!$B$65*C713</f>
        <v>0</v>
      </c>
      <c r="E713" s="677">
        <f>D713*'Emission Factors'!$C$65*0.001</f>
        <v>0</v>
      </c>
      <c r="F713" s="677">
        <f>E713*'Emission Factors'!$D$65*0.001</f>
        <v>0</v>
      </c>
      <c r="G713" s="677">
        <f>F713*'Emission Factors'!$E$65*0.001</f>
        <v>0</v>
      </c>
      <c r="H713" s="695">
        <f t="shared" si="88"/>
        <v>0</v>
      </c>
      <c r="I713" s="679">
        <f>D713*'Emission Factors'!$G$65*0.001</f>
        <v>0</v>
      </c>
    </row>
    <row r="714" spans="1:16" s="667" customFormat="1" ht="24" thickBot="1" x14ac:dyDescent="0.6">
      <c r="A714" s="682" t="s">
        <v>335</v>
      </c>
      <c r="B714" s="683"/>
      <c r="C714" s="683"/>
      <c r="D714" s="683"/>
      <c r="E714" s="666"/>
      <c r="F714" s="683"/>
      <c r="G714" s="684" t="s">
        <v>1699</v>
      </c>
      <c r="H714" s="685">
        <f>SUM(H704:H713)</f>
        <v>0</v>
      </c>
      <c r="I714" s="686">
        <f>SUM(I704:I713)</f>
        <v>0</v>
      </c>
      <c r="J714" s="666"/>
      <c r="K714" s="666"/>
      <c r="L714" s="666"/>
      <c r="M714" s="666"/>
      <c r="N714" s="666"/>
      <c r="O714" s="683"/>
    </row>
    <row r="715" spans="1:16" s="667" customFormat="1" ht="23.5" customHeight="1" thickBot="1" x14ac:dyDescent="0.6">
      <c r="A715" s="1474" t="s">
        <v>354</v>
      </c>
      <c r="B715" s="1475"/>
      <c r="C715" s="1476"/>
      <c r="D715" s="1477" t="s">
        <v>330</v>
      </c>
      <c r="E715" s="1478"/>
      <c r="F715" s="665"/>
      <c r="G715" s="666"/>
      <c r="H715" s="666"/>
      <c r="I715" s="666"/>
      <c r="J715" s="666"/>
      <c r="K715" s="666"/>
      <c r="L715" s="666"/>
      <c r="M715" s="666"/>
      <c r="P715" s="690"/>
    </row>
    <row r="716" spans="1:16" ht="18.5" x14ac:dyDescent="0.45">
      <c r="E716" s="668"/>
      <c r="F716" s="668"/>
      <c r="G716" s="668"/>
      <c r="H716" s="669" t="s">
        <v>39</v>
      </c>
      <c r="I716" s="670" t="s">
        <v>68</v>
      </c>
    </row>
    <row r="717" spans="1:16" ht="110.5" customHeight="1" x14ac:dyDescent="0.35">
      <c r="A717" s="671" t="s">
        <v>331</v>
      </c>
      <c r="B717" s="671" t="s">
        <v>1763</v>
      </c>
      <c r="C717" s="671" t="s">
        <v>353</v>
      </c>
      <c r="D717" s="672" t="s">
        <v>334</v>
      </c>
      <c r="E717" s="672" t="s">
        <v>1696</v>
      </c>
      <c r="F717" s="672" t="s">
        <v>1697</v>
      </c>
      <c r="G717" s="672" t="s">
        <v>1698</v>
      </c>
      <c r="H717" s="673" t="s">
        <v>1696</v>
      </c>
      <c r="I717" s="674" t="s">
        <v>1696</v>
      </c>
    </row>
    <row r="718" spans="1:16" x14ac:dyDescent="0.35">
      <c r="A718" s="675"/>
      <c r="B718" s="687"/>
      <c r="C718" s="688">
        <f>(B718/'Emission Factors'!$B$87)/1000</f>
        <v>0</v>
      </c>
      <c r="D718" s="677">
        <f>'Emission Factors'!$B$65*C718</f>
        <v>0</v>
      </c>
      <c r="E718" s="677">
        <f>D718*'Emission Factors'!$C$65*0.001</f>
        <v>0</v>
      </c>
      <c r="F718" s="677">
        <f>E718*'Emission Factors'!$D$65*0.001</f>
        <v>0</v>
      </c>
      <c r="G718" s="677">
        <f>F718*'Emission Factors'!$E$65*0.001</f>
        <v>0</v>
      </c>
      <c r="H718" s="678">
        <f t="shared" ref="H718:H727" si="90">E718+F718+G718</f>
        <v>0</v>
      </c>
      <c r="I718" s="679">
        <f>D718*'Emission Factors'!$G$65*0.001</f>
        <v>0</v>
      </c>
    </row>
    <row r="719" spans="1:16" x14ac:dyDescent="0.35">
      <c r="A719" s="675"/>
      <c r="B719" s="687"/>
      <c r="C719" s="688">
        <f>(B719/'Emission Factors'!$B$87)/1000</f>
        <v>0</v>
      </c>
      <c r="D719" s="677">
        <f>'Emission Factors'!$B$65*C719</f>
        <v>0</v>
      </c>
      <c r="E719" s="677">
        <f>D719*'Emission Factors'!$C$65*0.001</f>
        <v>0</v>
      </c>
      <c r="F719" s="677">
        <f>E719*'Emission Factors'!$D$65*0.001</f>
        <v>0</v>
      </c>
      <c r="G719" s="677">
        <f>F719*'Emission Factors'!$E$65*0.001</f>
        <v>0</v>
      </c>
      <c r="H719" s="678">
        <f t="shared" si="90"/>
        <v>0</v>
      </c>
      <c r="I719" s="679">
        <f>D719*'Emission Factors'!$G$65*0.001</f>
        <v>0</v>
      </c>
    </row>
    <row r="720" spans="1:16" x14ac:dyDescent="0.35">
      <c r="A720" s="675"/>
      <c r="B720" s="687"/>
      <c r="C720" s="688">
        <f>(B720/'Emission Factors'!$B$87)/1000</f>
        <v>0</v>
      </c>
      <c r="D720" s="677">
        <f>'Emission Factors'!$B$65*C720</f>
        <v>0</v>
      </c>
      <c r="E720" s="677">
        <f>D720*'Emission Factors'!$C$65*0.001</f>
        <v>0</v>
      </c>
      <c r="F720" s="677">
        <f>E720*'Emission Factors'!$D$65*0.001</f>
        <v>0</v>
      </c>
      <c r="G720" s="677">
        <f>F720*'Emission Factors'!$E$65*0.001</f>
        <v>0</v>
      </c>
      <c r="H720" s="678">
        <f t="shared" si="90"/>
        <v>0</v>
      </c>
      <c r="I720" s="679">
        <f>D720*'Emission Factors'!$G$65*0.001</f>
        <v>0</v>
      </c>
    </row>
    <row r="721" spans="1:17" x14ac:dyDescent="0.35">
      <c r="A721" s="675"/>
      <c r="B721" s="687"/>
      <c r="C721" s="688">
        <f>(B721/'Emission Factors'!$B$87)/1000</f>
        <v>0</v>
      </c>
      <c r="D721" s="677">
        <f>'Emission Factors'!$B$65*C721</f>
        <v>0</v>
      </c>
      <c r="E721" s="677">
        <f>D721*'Emission Factors'!$C$65*0.001</f>
        <v>0</v>
      </c>
      <c r="F721" s="677">
        <f>E721*'Emission Factors'!$D$65*0.001</f>
        <v>0</v>
      </c>
      <c r="G721" s="677">
        <f>F721*'Emission Factors'!$E$65*0.001</f>
        <v>0</v>
      </c>
      <c r="H721" s="678">
        <f t="shared" si="90"/>
        <v>0</v>
      </c>
      <c r="I721" s="679">
        <f>D721*'Emission Factors'!$G$65*0.001</f>
        <v>0</v>
      </c>
    </row>
    <row r="722" spans="1:17" x14ac:dyDescent="0.35">
      <c r="A722" s="675"/>
      <c r="B722" s="687"/>
      <c r="C722" s="688">
        <f>(B722/'Emission Factors'!$B$87)/1000</f>
        <v>0</v>
      </c>
      <c r="D722" s="677">
        <f>'Emission Factors'!$B$65*C722</f>
        <v>0</v>
      </c>
      <c r="E722" s="677">
        <f>D722*'Emission Factors'!$C$65*0.001</f>
        <v>0</v>
      </c>
      <c r="F722" s="677">
        <f>E722*'Emission Factors'!$D$65*0.001</f>
        <v>0</v>
      </c>
      <c r="G722" s="677">
        <f>F722*'Emission Factors'!$E$65*0.001</f>
        <v>0</v>
      </c>
      <c r="H722" s="678">
        <f t="shared" si="90"/>
        <v>0</v>
      </c>
      <c r="I722" s="679">
        <f>D722*'Emission Factors'!$G$65*0.001</f>
        <v>0</v>
      </c>
    </row>
    <row r="723" spans="1:17" x14ac:dyDescent="0.35">
      <c r="A723" s="675"/>
      <c r="B723" s="687"/>
      <c r="C723" s="688">
        <f>(B723/'Emission Factors'!$B$87)/1000</f>
        <v>0</v>
      </c>
      <c r="D723" s="677">
        <f>'Emission Factors'!$B$65*C723</f>
        <v>0</v>
      </c>
      <c r="E723" s="677">
        <f>D723*'Emission Factors'!$C$65*0.001</f>
        <v>0</v>
      </c>
      <c r="F723" s="677">
        <f>E723*'Emission Factors'!$D$65*0.001</f>
        <v>0</v>
      </c>
      <c r="G723" s="677">
        <f>F723*'Emission Factors'!$E$65*0.001</f>
        <v>0</v>
      </c>
      <c r="H723" s="678">
        <f t="shared" si="90"/>
        <v>0</v>
      </c>
      <c r="I723" s="679">
        <f>D723*'Emission Factors'!$G$65*0.001</f>
        <v>0</v>
      </c>
    </row>
    <row r="724" spans="1:17" x14ac:dyDescent="0.35">
      <c r="A724" s="675"/>
      <c r="B724" s="687"/>
      <c r="C724" s="688">
        <f>(B724/'Emission Factors'!$B$87)/1000</f>
        <v>0</v>
      </c>
      <c r="D724" s="677">
        <f>'Emission Factors'!$B$65*C724</f>
        <v>0</v>
      </c>
      <c r="E724" s="677">
        <f>D724*'Emission Factors'!$C$65*0.001</f>
        <v>0</v>
      </c>
      <c r="F724" s="677">
        <f>E724*'Emission Factors'!$D$65*0.001</f>
        <v>0</v>
      </c>
      <c r="G724" s="677">
        <f>F724*'Emission Factors'!$E$65*0.001</f>
        <v>0</v>
      </c>
      <c r="H724" s="678">
        <f t="shared" si="90"/>
        <v>0</v>
      </c>
      <c r="I724" s="679">
        <f>D724*'Emission Factors'!$G$65*0.001</f>
        <v>0</v>
      </c>
    </row>
    <row r="725" spans="1:17" x14ac:dyDescent="0.35">
      <c r="A725" s="675"/>
      <c r="B725" s="687"/>
      <c r="C725" s="688">
        <f>(B725/'Emission Factors'!$B$87)/1000</f>
        <v>0</v>
      </c>
      <c r="D725" s="677">
        <f>'Emission Factors'!$B$65*C725</f>
        <v>0</v>
      </c>
      <c r="E725" s="677">
        <f>D725*'Emission Factors'!$C$65*0.001</f>
        <v>0</v>
      </c>
      <c r="F725" s="677">
        <f>E725*'Emission Factors'!$D$65*0.001</f>
        <v>0</v>
      </c>
      <c r="G725" s="677">
        <f>F725*'Emission Factors'!$E$65*0.001</f>
        <v>0</v>
      </c>
      <c r="H725" s="678">
        <f t="shared" si="90"/>
        <v>0</v>
      </c>
      <c r="I725" s="679">
        <f>D725*'Emission Factors'!$G$65*0.001</f>
        <v>0</v>
      </c>
    </row>
    <row r="726" spans="1:17" x14ac:dyDescent="0.35">
      <c r="A726" s="675"/>
      <c r="B726" s="687"/>
      <c r="C726" s="688">
        <f>(B726/'Emission Factors'!$B$87)/1000</f>
        <v>0</v>
      </c>
      <c r="D726" s="677">
        <f>'Emission Factors'!$B$65*C726</f>
        <v>0</v>
      </c>
      <c r="E726" s="677">
        <f>D726*'Emission Factors'!$C$65*0.001</f>
        <v>0</v>
      </c>
      <c r="F726" s="677">
        <f>E726*'Emission Factors'!$D$65*0.001</f>
        <v>0</v>
      </c>
      <c r="G726" s="677">
        <f>F726*'Emission Factors'!$E$65*0.001</f>
        <v>0</v>
      </c>
      <c r="H726" s="678">
        <f t="shared" si="90"/>
        <v>0</v>
      </c>
      <c r="I726" s="679">
        <f>D726*'Emission Factors'!$G$65*0.001</f>
        <v>0</v>
      </c>
    </row>
    <row r="727" spans="1:17" ht="16" thickBot="1" x14ac:dyDescent="0.4">
      <c r="A727" s="675"/>
      <c r="B727" s="687"/>
      <c r="C727" s="688">
        <f>(B727/'Emission Factors'!$B$87)/1000</f>
        <v>0</v>
      </c>
      <c r="D727" s="677">
        <f>'Emission Factors'!$B$65*C727</f>
        <v>0</v>
      </c>
      <c r="E727" s="677">
        <f>D727*'Emission Factors'!$C$65*0.001</f>
        <v>0</v>
      </c>
      <c r="F727" s="677">
        <f>E727*'Emission Factors'!$D$65*0.001</f>
        <v>0</v>
      </c>
      <c r="G727" s="677">
        <f>F727*'Emission Factors'!$E$65*0.001</f>
        <v>0</v>
      </c>
      <c r="H727" s="695">
        <f t="shared" si="90"/>
        <v>0</v>
      </c>
      <c r="I727" s="679">
        <f>D727*'Emission Factors'!$G$65*0.001</f>
        <v>0</v>
      </c>
    </row>
    <row r="728" spans="1:17" ht="24" thickBot="1" x14ac:dyDescent="0.6">
      <c r="A728" s="693"/>
      <c r="D728" s="683"/>
      <c r="E728" s="666"/>
      <c r="F728" s="683"/>
      <c r="G728" s="684" t="s">
        <v>1699</v>
      </c>
      <c r="H728" s="685">
        <f>SUM(H718:H727)</f>
        <v>0</v>
      </c>
      <c r="I728" s="686">
        <f>SUM(I718:I727)</f>
        <v>0</v>
      </c>
      <c r="J728" s="666"/>
      <c r="K728" s="666"/>
      <c r="L728" s="666"/>
      <c r="M728" s="666"/>
      <c r="N728" s="666"/>
      <c r="O728" s="683"/>
      <c r="P728" s="667"/>
    </row>
    <row r="730" spans="1:17" s="664" customFormat="1" ht="36" x14ac:dyDescent="0.8">
      <c r="A730" s="1539" t="s">
        <v>355</v>
      </c>
      <c r="B730" s="1540"/>
      <c r="C730" s="1540"/>
      <c r="D730" s="1540"/>
      <c r="E730" s="1540"/>
      <c r="F730" s="1540"/>
      <c r="G730" s="1540"/>
      <c r="H730" s="1540"/>
      <c r="I730" s="1540"/>
      <c r="J730" s="728"/>
    </row>
    <row r="731" spans="1:17" s="667" customFormat="1" ht="24" thickBot="1" x14ac:dyDescent="0.6">
      <c r="A731" s="1474" t="s">
        <v>356</v>
      </c>
      <c r="B731" s="1475"/>
      <c r="C731" s="1476"/>
      <c r="D731" s="1461" t="s">
        <v>330</v>
      </c>
      <c r="E731" s="1462"/>
      <c r="F731" s="683"/>
      <c r="G731" s="666"/>
      <c r="H731" s="666"/>
      <c r="I731" s="666"/>
      <c r="J731" s="666"/>
      <c r="K731" s="666"/>
      <c r="L731" s="666"/>
      <c r="M731" s="666"/>
      <c r="N731" s="666"/>
      <c r="O731" s="691"/>
      <c r="Q731" s="691"/>
    </row>
    <row r="732" spans="1:17" ht="18.5" x14ac:dyDescent="0.45">
      <c r="E732" s="668"/>
      <c r="F732" s="668"/>
      <c r="G732" s="668"/>
      <c r="H732" s="669" t="s">
        <v>39</v>
      </c>
      <c r="I732" s="670" t="s">
        <v>68</v>
      </c>
    </row>
    <row r="733" spans="1:17" ht="31" x14ac:dyDescent="0.35">
      <c r="A733" s="697" t="s">
        <v>331</v>
      </c>
      <c r="B733" s="697" t="s">
        <v>357</v>
      </c>
      <c r="C733" s="672" t="s">
        <v>358</v>
      </c>
      <c r="D733" s="672" t="s">
        <v>334</v>
      </c>
      <c r="E733" s="672" t="s">
        <v>1696</v>
      </c>
      <c r="F733" s="672" t="s">
        <v>1697</v>
      </c>
      <c r="G733" s="672" t="s">
        <v>1698</v>
      </c>
      <c r="H733" s="673" t="s">
        <v>1696</v>
      </c>
      <c r="I733" s="674" t="s">
        <v>1696</v>
      </c>
    </row>
    <row r="734" spans="1:17" x14ac:dyDescent="0.35">
      <c r="A734" s="698"/>
      <c r="B734" s="694"/>
      <c r="C734" s="677">
        <f>B734/1000</f>
        <v>0</v>
      </c>
      <c r="D734" s="677">
        <f>'Emission Factors'!$B$69*C734</f>
        <v>0</v>
      </c>
      <c r="E734" s="677">
        <f>'Emission Factors'!$C$69*D734</f>
        <v>0</v>
      </c>
      <c r="F734" s="677">
        <f>'Emission Factors'!$D$69*D734</f>
        <v>0</v>
      </c>
      <c r="G734" s="677">
        <f>'Emission Factors'!$E$69*D734</f>
        <v>0</v>
      </c>
      <c r="H734" s="678">
        <f t="shared" ref="H734:H743" si="91">E734+F734+G734</f>
        <v>0</v>
      </c>
      <c r="I734" s="679">
        <f>D734*'Emission Factors'!$G$69*0.001</f>
        <v>0</v>
      </c>
    </row>
    <row r="735" spans="1:17" x14ac:dyDescent="0.35">
      <c r="A735" s="698"/>
      <c r="B735" s="694"/>
      <c r="C735" s="677">
        <f t="shared" ref="C735:C743" si="92">B735/1000</f>
        <v>0</v>
      </c>
      <c r="D735" s="677">
        <f>'Emission Factors'!$B$69*C735</f>
        <v>0</v>
      </c>
      <c r="E735" s="677">
        <f>'Emission Factors'!$C$69*D735</f>
        <v>0</v>
      </c>
      <c r="F735" s="677">
        <f>'Emission Factors'!$D$69*D735</f>
        <v>0</v>
      </c>
      <c r="G735" s="677">
        <f>'Emission Factors'!$E$69*D735</f>
        <v>0</v>
      </c>
      <c r="H735" s="678">
        <f t="shared" si="91"/>
        <v>0</v>
      </c>
      <c r="I735" s="679">
        <f>D735*'Emission Factors'!$G$69*0.001</f>
        <v>0</v>
      </c>
    </row>
    <row r="736" spans="1:17" x14ac:dyDescent="0.35">
      <c r="A736" s="698"/>
      <c r="B736" s="694"/>
      <c r="C736" s="677">
        <f t="shared" si="92"/>
        <v>0</v>
      </c>
      <c r="D736" s="677">
        <f>'Emission Factors'!$B$69*C736</f>
        <v>0</v>
      </c>
      <c r="E736" s="677">
        <f>'Emission Factors'!$C$69*D736</f>
        <v>0</v>
      </c>
      <c r="F736" s="677">
        <f>'Emission Factors'!$D$69*D736</f>
        <v>0</v>
      </c>
      <c r="G736" s="677">
        <f>'Emission Factors'!$E$69*D736</f>
        <v>0</v>
      </c>
      <c r="H736" s="678">
        <f t="shared" si="91"/>
        <v>0</v>
      </c>
      <c r="I736" s="679">
        <f>D736*'Emission Factors'!$G$69*0.001</f>
        <v>0</v>
      </c>
    </row>
    <row r="737" spans="1:9" x14ac:dyDescent="0.35">
      <c r="A737" s="698"/>
      <c r="B737" s="694"/>
      <c r="C737" s="677">
        <f t="shared" si="92"/>
        <v>0</v>
      </c>
      <c r="D737" s="677">
        <f>'Emission Factors'!$B$69*C737</f>
        <v>0</v>
      </c>
      <c r="E737" s="677">
        <f>'Emission Factors'!$C$69*D737</f>
        <v>0</v>
      </c>
      <c r="F737" s="677">
        <f>'Emission Factors'!$D$69*D737</f>
        <v>0</v>
      </c>
      <c r="G737" s="677">
        <f>'Emission Factors'!$E$69*D737</f>
        <v>0</v>
      </c>
      <c r="H737" s="678">
        <f t="shared" si="91"/>
        <v>0</v>
      </c>
      <c r="I737" s="679">
        <f>D737*'Emission Factors'!$G$69*0.001</f>
        <v>0</v>
      </c>
    </row>
    <row r="738" spans="1:9" x14ac:dyDescent="0.35">
      <c r="A738" s="698"/>
      <c r="B738" s="694"/>
      <c r="C738" s="677">
        <f t="shared" si="92"/>
        <v>0</v>
      </c>
      <c r="D738" s="677">
        <f>'Emission Factors'!$B$69*C738</f>
        <v>0</v>
      </c>
      <c r="E738" s="677">
        <f>'Emission Factors'!$C$69*D738</f>
        <v>0</v>
      </c>
      <c r="F738" s="677">
        <f>'Emission Factors'!$D$69*D738</f>
        <v>0</v>
      </c>
      <c r="G738" s="677">
        <f>'Emission Factors'!$E$69*D738</f>
        <v>0</v>
      </c>
      <c r="H738" s="678">
        <f t="shared" si="91"/>
        <v>0</v>
      </c>
      <c r="I738" s="679">
        <f>D738*'Emission Factors'!$G$69*0.001</f>
        <v>0</v>
      </c>
    </row>
    <row r="739" spans="1:9" x14ac:dyDescent="0.35">
      <c r="A739" s="698"/>
      <c r="B739" s="694"/>
      <c r="C739" s="677">
        <f t="shared" si="92"/>
        <v>0</v>
      </c>
      <c r="D739" s="677">
        <f>'Emission Factors'!$B$69*C739</f>
        <v>0</v>
      </c>
      <c r="E739" s="677">
        <f>'Emission Factors'!$C$69*D739</f>
        <v>0</v>
      </c>
      <c r="F739" s="677">
        <f>'Emission Factors'!$D$69*D739</f>
        <v>0</v>
      </c>
      <c r="G739" s="677">
        <f>'Emission Factors'!$E$69*D739</f>
        <v>0</v>
      </c>
      <c r="H739" s="678">
        <f t="shared" si="91"/>
        <v>0</v>
      </c>
      <c r="I739" s="679">
        <f>D739*'Emission Factors'!$G$69*0.001</f>
        <v>0</v>
      </c>
    </row>
    <row r="740" spans="1:9" x14ac:dyDescent="0.35">
      <c r="A740" s="698"/>
      <c r="B740" s="694"/>
      <c r="C740" s="677">
        <f t="shared" si="92"/>
        <v>0</v>
      </c>
      <c r="D740" s="677">
        <f>'Emission Factors'!$B$69*C740</f>
        <v>0</v>
      </c>
      <c r="E740" s="677">
        <f>'Emission Factors'!$C$69*D740</f>
        <v>0</v>
      </c>
      <c r="F740" s="677">
        <f>'Emission Factors'!$D$69*D740</f>
        <v>0</v>
      </c>
      <c r="G740" s="677">
        <f>'Emission Factors'!$E$69*D740</f>
        <v>0</v>
      </c>
      <c r="H740" s="678">
        <f t="shared" si="91"/>
        <v>0</v>
      </c>
      <c r="I740" s="679">
        <f>D740*'Emission Factors'!$G$69*0.001</f>
        <v>0</v>
      </c>
    </row>
    <row r="741" spans="1:9" x14ac:dyDescent="0.35">
      <c r="A741" s="698"/>
      <c r="B741" s="694"/>
      <c r="C741" s="677">
        <f t="shared" si="92"/>
        <v>0</v>
      </c>
      <c r="D741" s="677">
        <f>'Emission Factors'!$B$69*C741</f>
        <v>0</v>
      </c>
      <c r="E741" s="677">
        <f>'Emission Factors'!$C$69*D741</f>
        <v>0</v>
      </c>
      <c r="F741" s="677">
        <f>'Emission Factors'!$D$69*D741</f>
        <v>0</v>
      </c>
      <c r="G741" s="677">
        <f>'Emission Factors'!$E$69*D741</f>
        <v>0</v>
      </c>
      <c r="H741" s="678">
        <f t="shared" si="91"/>
        <v>0</v>
      </c>
      <c r="I741" s="679">
        <f>D741*'Emission Factors'!$G$69*0.001</f>
        <v>0</v>
      </c>
    </row>
    <row r="742" spans="1:9" x14ac:dyDescent="0.35">
      <c r="A742" s="698"/>
      <c r="B742" s="694"/>
      <c r="C742" s="677">
        <f t="shared" si="92"/>
        <v>0</v>
      </c>
      <c r="D742" s="677">
        <f>'Emission Factors'!$B$69*C742</f>
        <v>0</v>
      </c>
      <c r="E742" s="677">
        <f>'Emission Factors'!$C$69*D742</f>
        <v>0</v>
      </c>
      <c r="F742" s="677">
        <f>'Emission Factors'!$D$69*D742</f>
        <v>0</v>
      </c>
      <c r="G742" s="677">
        <f>'Emission Factors'!$E$69*D742</f>
        <v>0</v>
      </c>
      <c r="H742" s="678">
        <f t="shared" si="91"/>
        <v>0</v>
      </c>
      <c r="I742" s="679">
        <f>D742*'Emission Factors'!$G$69*0.001</f>
        <v>0</v>
      </c>
    </row>
    <row r="743" spans="1:9" ht="16" thickBot="1" x14ac:dyDescent="0.4">
      <c r="A743" s="698"/>
      <c r="B743" s="694"/>
      <c r="C743" s="677">
        <f t="shared" si="92"/>
        <v>0</v>
      </c>
      <c r="D743" s="677">
        <f>'Emission Factors'!$B$69*C743</f>
        <v>0</v>
      </c>
      <c r="E743" s="677">
        <f>'Emission Factors'!$C$69*D743</f>
        <v>0</v>
      </c>
      <c r="F743" s="677">
        <f>'Emission Factors'!$D$69*D743</f>
        <v>0</v>
      </c>
      <c r="G743" s="677">
        <f>'Emission Factors'!$E$69*D743</f>
        <v>0</v>
      </c>
      <c r="H743" s="695">
        <f t="shared" si="91"/>
        <v>0</v>
      </c>
      <c r="I743" s="679">
        <f>D743*'Emission Factors'!$G$69*0.001</f>
        <v>0</v>
      </c>
    </row>
    <row r="744" spans="1:9" ht="16" thickBot="1" x14ac:dyDescent="0.4">
      <c r="A744" s="699" t="s">
        <v>359</v>
      </c>
      <c r="B744" s="700" t="s">
        <v>360</v>
      </c>
      <c r="G744" s="684" t="s">
        <v>1699</v>
      </c>
      <c r="H744" s="685">
        <f>SUM(H734:H743)</f>
        <v>0</v>
      </c>
      <c r="I744" s="686">
        <f>SUM(I734:I743)</f>
        <v>0</v>
      </c>
    </row>
    <row r="745" spans="1:9" s="667" customFormat="1" ht="23.5" x14ac:dyDescent="0.55000000000000004">
      <c r="A745" s="682" t="s">
        <v>335</v>
      </c>
    </row>
    <row r="746" spans="1:9" s="667" customFormat="1" ht="24" thickBot="1" x14ac:dyDescent="0.6">
      <c r="A746" s="1474" t="s">
        <v>361</v>
      </c>
      <c r="B746" s="1475"/>
      <c r="C746" s="1476"/>
      <c r="D746" s="1461" t="s">
        <v>330</v>
      </c>
      <c r="E746" s="1462"/>
      <c r="F746" s="683"/>
      <c r="G746" s="666"/>
      <c r="H746" s="666"/>
    </row>
    <row r="747" spans="1:9" ht="18.5" x14ac:dyDescent="0.45">
      <c r="E747" s="668"/>
      <c r="F747" s="668"/>
      <c r="G747" s="668"/>
      <c r="H747" s="669" t="s">
        <v>39</v>
      </c>
      <c r="I747" s="670" t="s">
        <v>68</v>
      </c>
    </row>
    <row r="748" spans="1:9" ht="31" x14ac:dyDescent="0.35">
      <c r="A748" s="697" t="s">
        <v>331</v>
      </c>
      <c r="B748" s="697" t="s">
        <v>362</v>
      </c>
      <c r="C748" s="697" t="s">
        <v>1716</v>
      </c>
      <c r="D748" s="672" t="s">
        <v>334</v>
      </c>
      <c r="E748" s="672" t="s">
        <v>1696</v>
      </c>
      <c r="F748" s="672" t="s">
        <v>1697</v>
      </c>
      <c r="G748" s="672" t="s">
        <v>1698</v>
      </c>
      <c r="H748" s="673" t="s">
        <v>1696</v>
      </c>
      <c r="I748" s="674" t="s">
        <v>1696</v>
      </c>
    </row>
    <row r="749" spans="1:9" x14ac:dyDescent="0.35">
      <c r="A749" s="698"/>
      <c r="B749" s="687"/>
      <c r="C749" s="677">
        <f>(B749/'Emission Factors'!$B$88)/1000</f>
        <v>0</v>
      </c>
      <c r="D749" s="677">
        <f>'Emission Factors'!$B$69*C749</f>
        <v>0</v>
      </c>
      <c r="E749" s="677">
        <f>'Emission Factors'!$C$69*D749</f>
        <v>0</v>
      </c>
      <c r="F749" s="677">
        <f>'Emission Factors'!$D$69*D749</f>
        <v>0</v>
      </c>
      <c r="G749" s="677">
        <f>'Emission Factors'!$E$69*D749</f>
        <v>0</v>
      </c>
      <c r="H749" s="678">
        <f t="shared" ref="H749:H758" si="93">E749+F749+G749</f>
        <v>0</v>
      </c>
      <c r="I749" s="679">
        <f>D749*'Emission Factors'!$G$69*0.001</f>
        <v>0</v>
      </c>
    </row>
    <row r="750" spans="1:9" x14ac:dyDescent="0.35">
      <c r="A750" s="698"/>
      <c r="B750" s="687"/>
      <c r="C750" s="677">
        <f t="shared" ref="C750:C758" si="94">B750/0.74</f>
        <v>0</v>
      </c>
      <c r="D750" s="677">
        <f>'Emission Factors'!$B$69*C750</f>
        <v>0</v>
      </c>
      <c r="E750" s="677">
        <f>'Emission Factors'!$C$69*D750</f>
        <v>0</v>
      </c>
      <c r="F750" s="677">
        <f>'Emission Factors'!$D$69*D750</f>
        <v>0</v>
      </c>
      <c r="G750" s="677">
        <f>'Emission Factors'!$E$69*D750</f>
        <v>0</v>
      </c>
      <c r="H750" s="678">
        <f t="shared" si="93"/>
        <v>0</v>
      </c>
      <c r="I750" s="679">
        <f>D750*'Emission Factors'!$G$69*0.001</f>
        <v>0</v>
      </c>
    </row>
    <row r="751" spans="1:9" x14ac:dyDescent="0.35">
      <c r="A751" s="698"/>
      <c r="B751" s="687"/>
      <c r="C751" s="677">
        <f t="shared" si="94"/>
        <v>0</v>
      </c>
      <c r="D751" s="677">
        <f>'Emission Factors'!$B$69*C751</f>
        <v>0</v>
      </c>
      <c r="E751" s="677">
        <f>'Emission Factors'!$C$69*D751</f>
        <v>0</v>
      </c>
      <c r="F751" s="677">
        <f>'Emission Factors'!$D$69*D751</f>
        <v>0</v>
      </c>
      <c r="G751" s="677">
        <f>'Emission Factors'!$E$69*D751</f>
        <v>0</v>
      </c>
      <c r="H751" s="678">
        <f t="shared" si="93"/>
        <v>0</v>
      </c>
      <c r="I751" s="679">
        <f>D751*'Emission Factors'!$G$69*0.001</f>
        <v>0</v>
      </c>
    </row>
    <row r="752" spans="1:9" x14ac:dyDescent="0.35">
      <c r="A752" s="698"/>
      <c r="B752" s="687"/>
      <c r="C752" s="677">
        <f t="shared" si="94"/>
        <v>0</v>
      </c>
      <c r="D752" s="677">
        <f>'Emission Factors'!$B$69*C752</f>
        <v>0</v>
      </c>
      <c r="E752" s="677">
        <f>'Emission Factors'!$C$69*D752</f>
        <v>0</v>
      </c>
      <c r="F752" s="677">
        <f>'Emission Factors'!$D$69*D752</f>
        <v>0</v>
      </c>
      <c r="G752" s="677">
        <f>'Emission Factors'!$E$69*D752</f>
        <v>0</v>
      </c>
      <c r="H752" s="678">
        <f t="shared" si="93"/>
        <v>0</v>
      </c>
      <c r="I752" s="679">
        <f>D752*'Emission Factors'!$G$69*0.001</f>
        <v>0</v>
      </c>
    </row>
    <row r="753" spans="1:17" x14ac:dyDescent="0.35">
      <c r="A753" s="698"/>
      <c r="B753" s="687"/>
      <c r="C753" s="677">
        <f t="shared" si="94"/>
        <v>0</v>
      </c>
      <c r="D753" s="677">
        <f>'Emission Factors'!$B$69*C753</f>
        <v>0</v>
      </c>
      <c r="E753" s="677">
        <f>'Emission Factors'!$C$69*D753</f>
        <v>0</v>
      </c>
      <c r="F753" s="677">
        <f>'Emission Factors'!$D$69*D753</f>
        <v>0</v>
      </c>
      <c r="G753" s="677">
        <f>'Emission Factors'!$E$69*D753</f>
        <v>0</v>
      </c>
      <c r="H753" s="678">
        <f t="shared" si="93"/>
        <v>0</v>
      </c>
      <c r="I753" s="679">
        <f>D753*'Emission Factors'!$G$69*0.001</f>
        <v>0</v>
      </c>
    </row>
    <row r="754" spans="1:17" x14ac:dyDescent="0.35">
      <c r="A754" s="698"/>
      <c r="B754" s="687"/>
      <c r="C754" s="677">
        <f t="shared" si="94"/>
        <v>0</v>
      </c>
      <c r="D754" s="677">
        <f>'Emission Factors'!$B$69*C754</f>
        <v>0</v>
      </c>
      <c r="E754" s="677">
        <f>'Emission Factors'!$C$69*D754</f>
        <v>0</v>
      </c>
      <c r="F754" s="677">
        <f>'Emission Factors'!$D$69*D754</f>
        <v>0</v>
      </c>
      <c r="G754" s="677">
        <f>'Emission Factors'!$E$69*D754</f>
        <v>0</v>
      </c>
      <c r="H754" s="678">
        <f t="shared" si="93"/>
        <v>0</v>
      </c>
      <c r="I754" s="679">
        <f>D754*'Emission Factors'!$G$69*0.001</f>
        <v>0</v>
      </c>
    </row>
    <row r="755" spans="1:17" x14ac:dyDescent="0.35">
      <c r="A755" s="698"/>
      <c r="B755" s="687"/>
      <c r="C755" s="677">
        <f t="shared" si="94"/>
        <v>0</v>
      </c>
      <c r="D755" s="677">
        <f>'Emission Factors'!$B$69*C755</f>
        <v>0</v>
      </c>
      <c r="E755" s="677">
        <f>'Emission Factors'!$C$69*D755</f>
        <v>0</v>
      </c>
      <c r="F755" s="677">
        <f>'Emission Factors'!$D$69*D755</f>
        <v>0</v>
      </c>
      <c r="G755" s="677">
        <f>'Emission Factors'!$E$69*D755</f>
        <v>0</v>
      </c>
      <c r="H755" s="678">
        <f t="shared" si="93"/>
        <v>0</v>
      </c>
      <c r="I755" s="679">
        <f>D755*'Emission Factors'!$G$69*0.001</f>
        <v>0</v>
      </c>
    </row>
    <row r="756" spans="1:17" x14ac:dyDescent="0.35">
      <c r="A756" s="698"/>
      <c r="B756" s="687"/>
      <c r="C756" s="677">
        <f t="shared" si="94"/>
        <v>0</v>
      </c>
      <c r="D756" s="677">
        <f>'Emission Factors'!$B$69*C756</f>
        <v>0</v>
      </c>
      <c r="E756" s="677">
        <f>'Emission Factors'!$C$69*D756</f>
        <v>0</v>
      </c>
      <c r="F756" s="677">
        <f>'Emission Factors'!$D$69*D756</f>
        <v>0</v>
      </c>
      <c r="G756" s="677">
        <f>'Emission Factors'!$E$69*D756</f>
        <v>0</v>
      </c>
      <c r="H756" s="678">
        <f t="shared" si="93"/>
        <v>0</v>
      </c>
      <c r="I756" s="679">
        <f>D756*'Emission Factors'!$G$69*0.001</f>
        <v>0</v>
      </c>
    </row>
    <row r="757" spans="1:17" x14ac:dyDescent="0.35">
      <c r="A757" s="698"/>
      <c r="B757" s="687"/>
      <c r="C757" s="677">
        <f t="shared" si="94"/>
        <v>0</v>
      </c>
      <c r="D757" s="677">
        <f>'Emission Factors'!$B$69*C757</f>
        <v>0</v>
      </c>
      <c r="E757" s="677">
        <f>'Emission Factors'!$C$69*D757</f>
        <v>0</v>
      </c>
      <c r="F757" s="677">
        <f>'Emission Factors'!$D$69*D757</f>
        <v>0</v>
      </c>
      <c r="G757" s="677">
        <f>'Emission Factors'!$E$69*D757</f>
        <v>0</v>
      </c>
      <c r="H757" s="678">
        <f t="shared" si="93"/>
        <v>0</v>
      </c>
      <c r="I757" s="679">
        <f>D757*'Emission Factors'!$G$69*0.001</f>
        <v>0</v>
      </c>
    </row>
    <row r="758" spans="1:17" ht="16" thickBot="1" x14ac:dyDescent="0.4">
      <c r="A758" s="698"/>
      <c r="B758" s="687"/>
      <c r="C758" s="677">
        <f t="shared" si="94"/>
        <v>0</v>
      </c>
      <c r="D758" s="677">
        <f>'Emission Factors'!$B$69*C758</f>
        <v>0</v>
      </c>
      <c r="E758" s="677">
        <f>'Emission Factors'!$C$69*D758</f>
        <v>0</v>
      </c>
      <c r="F758" s="677">
        <f>'Emission Factors'!$D$69*D758</f>
        <v>0</v>
      </c>
      <c r="G758" s="677">
        <f>'Emission Factors'!$E$69*D758</f>
        <v>0</v>
      </c>
      <c r="H758" s="695">
        <f t="shared" si="93"/>
        <v>0</v>
      </c>
      <c r="I758" s="679">
        <f>D758*'Emission Factors'!$G$69*0.001</f>
        <v>0</v>
      </c>
    </row>
    <row r="759" spans="1:17" ht="16" thickBot="1" x14ac:dyDescent="0.4">
      <c r="A759" s="693"/>
      <c r="G759" s="684" t="s">
        <v>1699</v>
      </c>
      <c r="H759" s="685">
        <f>SUM(H749:H758)</f>
        <v>0</v>
      </c>
      <c r="I759" s="686">
        <f>SUM(I749:I758)</f>
        <v>0</v>
      </c>
    </row>
    <row r="762" spans="1:17" s="664" customFormat="1" ht="36" x14ac:dyDescent="0.8">
      <c r="A762" s="1479" t="s">
        <v>812</v>
      </c>
      <c r="B762" s="1480"/>
      <c r="C762" s="1480"/>
      <c r="D762" s="1480"/>
      <c r="E762" s="1480"/>
      <c r="F762" s="1480"/>
      <c r="G762" s="1480"/>
      <c r="H762" s="1480"/>
      <c r="I762" s="1480"/>
      <c r="J762" s="1480"/>
      <c r="K762" s="1480"/>
      <c r="L762" s="1480"/>
      <c r="M762" s="1480"/>
      <c r="N762" s="1480"/>
      <c r="O762" s="1480"/>
      <c r="P762" s="1480"/>
      <c r="Q762" s="1481"/>
    </row>
    <row r="763" spans="1:17" x14ac:dyDescent="0.35">
      <c r="A763" s="603"/>
      <c r="B763" s="603"/>
      <c r="C763" s="603"/>
      <c r="D763" s="603"/>
      <c r="E763" s="603"/>
      <c r="F763" s="603"/>
      <c r="G763" s="603"/>
      <c r="H763" s="603"/>
      <c r="I763" s="603"/>
      <c r="J763" s="603"/>
      <c r="K763" s="603"/>
      <c r="L763" s="603"/>
      <c r="M763" s="603"/>
      <c r="N763" s="603"/>
      <c r="O763" s="603"/>
      <c r="P763" s="603"/>
      <c r="Q763" s="603"/>
    </row>
    <row r="764" spans="1:17" x14ac:dyDescent="0.35">
      <c r="A764" s="603" t="s">
        <v>813</v>
      </c>
      <c r="B764" s="603"/>
      <c r="C764" s="603"/>
      <c r="D764" s="603"/>
      <c r="E764" s="603"/>
      <c r="F764" s="603"/>
      <c r="G764" s="603"/>
      <c r="H764" s="603"/>
      <c r="I764" s="603"/>
      <c r="J764" s="603"/>
      <c r="K764" s="603"/>
      <c r="L764" s="603"/>
      <c r="M764" s="603"/>
      <c r="N764" s="603"/>
      <c r="O764" s="603"/>
      <c r="P764" s="603"/>
      <c r="Q764" s="603"/>
    </row>
    <row r="765" spans="1:17" x14ac:dyDescent="0.35">
      <c r="A765" s="603" t="s">
        <v>814</v>
      </c>
      <c r="B765" s="603"/>
      <c r="C765" s="603"/>
      <c r="D765" s="603"/>
      <c r="E765" s="603"/>
      <c r="F765" s="603"/>
      <c r="G765" s="603"/>
      <c r="H765" s="603"/>
      <c r="I765" s="603"/>
      <c r="J765" s="603"/>
      <c r="K765" s="603"/>
      <c r="L765" s="603"/>
      <c r="M765" s="603"/>
      <c r="N765" s="603"/>
      <c r="O765" s="603"/>
      <c r="P765" s="603"/>
      <c r="Q765" s="603"/>
    </row>
    <row r="766" spans="1:17" x14ac:dyDescent="0.35">
      <c r="A766" s="603" t="s">
        <v>815</v>
      </c>
      <c r="B766" s="603"/>
      <c r="C766" s="603"/>
      <c r="D766" s="603"/>
      <c r="E766" s="603"/>
      <c r="F766" s="603"/>
      <c r="G766" s="603"/>
      <c r="H766" s="603"/>
      <c r="I766" s="603"/>
      <c r="J766" s="603"/>
      <c r="K766" s="603"/>
      <c r="L766" s="603"/>
      <c r="M766" s="603"/>
      <c r="N766" s="603"/>
      <c r="O766" s="603"/>
      <c r="P766" s="603"/>
      <c r="Q766" s="603"/>
    </row>
    <row r="767" spans="1:17" x14ac:dyDescent="0.35">
      <c r="A767" s="603"/>
      <c r="B767" s="603"/>
      <c r="C767" s="603"/>
      <c r="D767" s="603"/>
      <c r="E767" s="603"/>
      <c r="F767" s="603"/>
      <c r="G767" s="603"/>
      <c r="H767" s="603"/>
      <c r="I767" s="603"/>
      <c r="J767" s="603"/>
      <c r="K767" s="603"/>
      <c r="L767" s="603"/>
      <c r="M767" s="603"/>
      <c r="N767" s="603"/>
      <c r="O767" s="603"/>
      <c r="P767" s="603"/>
      <c r="Q767" s="603"/>
    </row>
    <row r="768" spans="1:17" x14ac:dyDescent="0.35">
      <c r="A768" s="603"/>
      <c r="B768" s="603" t="s">
        <v>816</v>
      </c>
      <c r="C768" s="603"/>
      <c r="D768" s="603"/>
      <c r="E768" s="603"/>
      <c r="F768" s="603"/>
      <c r="G768" s="603"/>
      <c r="H768" s="603"/>
      <c r="I768" s="603"/>
      <c r="J768" s="603"/>
      <c r="K768" s="603"/>
      <c r="L768" s="603"/>
      <c r="M768" s="603"/>
      <c r="N768" s="603"/>
      <c r="O768" s="603"/>
      <c r="P768" s="603"/>
      <c r="Q768" s="603"/>
    </row>
    <row r="769" spans="1:17" x14ac:dyDescent="0.35">
      <c r="A769" s="603"/>
      <c r="B769" s="603" t="s">
        <v>817</v>
      </c>
      <c r="C769" s="603"/>
      <c r="D769" s="603"/>
      <c r="E769" s="603"/>
      <c r="F769" s="603"/>
      <c r="G769" s="603"/>
      <c r="H769" s="603"/>
      <c r="I769" s="603"/>
      <c r="J769" s="603"/>
      <c r="K769" s="603"/>
      <c r="L769" s="603"/>
      <c r="M769" s="603"/>
      <c r="N769" s="603"/>
      <c r="O769" s="603"/>
      <c r="P769" s="603"/>
      <c r="Q769" s="603"/>
    </row>
    <row r="770" spans="1:17" x14ac:dyDescent="0.35">
      <c r="A770" s="603"/>
      <c r="B770" s="603" t="s">
        <v>818</v>
      </c>
      <c r="C770" s="603"/>
      <c r="D770" s="603"/>
      <c r="E770" s="603"/>
      <c r="F770" s="603"/>
      <c r="G770" s="603"/>
      <c r="H770" s="603"/>
      <c r="I770" s="603"/>
      <c r="J770" s="603"/>
      <c r="K770" s="603"/>
      <c r="L770" s="603"/>
      <c r="M770" s="603"/>
      <c r="N770" s="603"/>
      <c r="O770" s="603"/>
      <c r="P770" s="603"/>
      <c r="Q770" s="603"/>
    </row>
    <row r="771" spans="1:17" x14ac:dyDescent="0.35">
      <c r="A771" s="603"/>
      <c r="B771" s="603"/>
      <c r="C771" s="980" t="s">
        <v>819</v>
      </c>
      <c r="D771" s="603"/>
      <c r="E771" s="603"/>
      <c r="F771" s="603"/>
      <c r="G771" s="603"/>
      <c r="H771" s="603"/>
      <c r="I771" s="603"/>
      <c r="J771" s="603"/>
      <c r="K771" s="603"/>
      <c r="L771" s="603"/>
      <c r="M771" s="603"/>
      <c r="N771" s="603"/>
      <c r="O771" s="603"/>
      <c r="P771" s="603"/>
      <c r="Q771" s="603"/>
    </row>
    <row r="772" spans="1:17" x14ac:dyDescent="0.35">
      <c r="A772" s="603"/>
      <c r="B772" s="603"/>
      <c r="C772" s="603"/>
      <c r="D772" s="603"/>
      <c r="E772" s="603"/>
      <c r="F772" s="603"/>
      <c r="G772" s="603"/>
      <c r="H772" s="603"/>
      <c r="I772" s="603"/>
      <c r="J772" s="603"/>
      <c r="K772" s="603"/>
      <c r="L772" s="603"/>
      <c r="M772" s="603"/>
      <c r="N772" s="603"/>
      <c r="O772" s="603"/>
      <c r="P772" s="603"/>
      <c r="Q772" s="603"/>
    </row>
    <row r="773" spans="1:17" x14ac:dyDescent="0.35">
      <c r="A773" s="603"/>
      <c r="B773" s="603" t="s">
        <v>820</v>
      </c>
      <c r="C773" s="603"/>
      <c r="D773" s="603"/>
      <c r="E773" s="603"/>
      <c r="F773" s="603"/>
      <c r="G773" s="603"/>
      <c r="H773" s="603"/>
      <c r="I773" s="603"/>
      <c r="J773" s="603"/>
      <c r="K773" s="603"/>
      <c r="L773" s="603"/>
      <c r="M773" s="603"/>
      <c r="N773" s="603"/>
      <c r="O773" s="603"/>
      <c r="P773" s="603"/>
      <c r="Q773" s="603"/>
    </row>
    <row r="774" spans="1:17" x14ac:dyDescent="0.35">
      <c r="A774" s="603"/>
      <c r="B774" s="603"/>
      <c r="C774" s="603"/>
      <c r="D774" s="603"/>
      <c r="E774" s="603"/>
      <c r="F774" s="603"/>
      <c r="G774" s="603"/>
      <c r="H774" s="603"/>
      <c r="I774" s="603"/>
      <c r="J774" s="603"/>
      <c r="K774" s="603"/>
      <c r="L774" s="603"/>
      <c r="M774" s="603"/>
      <c r="N774" s="603"/>
      <c r="O774" s="603"/>
      <c r="P774" s="603"/>
      <c r="Q774" s="603"/>
    </row>
    <row r="775" spans="1:17" x14ac:dyDescent="0.35">
      <c r="A775" s="603"/>
      <c r="B775" s="603"/>
      <c r="C775" s="603"/>
      <c r="D775" s="603"/>
      <c r="E775" s="603"/>
      <c r="F775" s="603"/>
      <c r="G775" s="603"/>
      <c r="H775" s="603"/>
      <c r="I775" s="603"/>
      <c r="J775" s="603"/>
      <c r="K775" s="603"/>
      <c r="L775" s="603"/>
      <c r="M775" s="603"/>
      <c r="N775" s="603"/>
      <c r="O775" s="603"/>
      <c r="P775" s="603"/>
      <c r="Q775" s="603"/>
    </row>
    <row r="776" spans="1:17" x14ac:dyDescent="0.35">
      <c r="A776" s="603"/>
      <c r="B776" s="603"/>
      <c r="C776" s="603"/>
      <c r="D776" s="603"/>
      <c r="E776" s="603"/>
      <c r="F776" s="603"/>
      <c r="G776" s="603"/>
      <c r="H776" s="603"/>
      <c r="I776" s="603"/>
      <c r="J776" s="603"/>
      <c r="K776" s="603"/>
      <c r="L776" s="603"/>
      <c r="M776" s="603"/>
      <c r="N776" s="603"/>
      <c r="O776" s="603"/>
      <c r="P776" s="603"/>
      <c r="Q776" s="603"/>
    </row>
    <row r="777" spans="1:17" x14ac:dyDescent="0.35">
      <c r="A777" s="603"/>
      <c r="B777" s="603"/>
      <c r="C777" s="603"/>
      <c r="D777" s="603"/>
      <c r="E777" s="603"/>
      <c r="F777" s="603"/>
      <c r="G777" s="603"/>
      <c r="H777" s="603"/>
      <c r="I777" s="603"/>
      <c r="J777" s="603"/>
      <c r="K777" s="603"/>
      <c r="L777" s="603"/>
      <c r="M777" s="603"/>
      <c r="N777" s="603"/>
      <c r="O777" s="603"/>
      <c r="P777" s="603"/>
      <c r="Q777" s="603"/>
    </row>
    <row r="778" spans="1:17" x14ac:dyDescent="0.35">
      <c r="A778" s="603"/>
      <c r="B778" s="603"/>
      <c r="C778" s="603"/>
      <c r="D778" s="603"/>
      <c r="E778" s="603"/>
      <c r="F778" s="603"/>
      <c r="G778" s="603"/>
      <c r="H778" s="603"/>
      <c r="I778" s="603"/>
      <c r="J778" s="603"/>
      <c r="K778" s="603"/>
      <c r="L778" s="603"/>
      <c r="M778" s="603"/>
      <c r="N778" s="603"/>
      <c r="O778" s="603"/>
      <c r="P778" s="603"/>
      <c r="Q778" s="603"/>
    </row>
    <row r="779" spans="1:17" x14ac:dyDescent="0.35">
      <c r="A779" s="603"/>
      <c r="B779" s="603"/>
      <c r="C779" s="603"/>
      <c r="D779" s="603"/>
      <c r="E779" s="603"/>
      <c r="F779" s="603"/>
      <c r="G779" s="603"/>
      <c r="H779" s="603"/>
      <c r="I779" s="603"/>
      <c r="J779" s="603"/>
      <c r="K779" s="603"/>
      <c r="L779" s="603"/>
      <c r="M779" s="603"/>
      <c r="N779" s="603"/>
      <c r="O779" s="603"/>
      <c r="P779" s="603"/>
      <c r="Q779" s="603"/>
    </row>
    <row r="780" spans="1:17" x14ac:dyDescent="0.35">
      <c r="A780" s="603"/>
      <c r="B780" s="603"/>
      <c r="C780" s="603"/>
      <c r="D780" s="603"/>
      <c r="E780" s="603"/>
      <c r="F780" s="603"/>
      <c r="G780" s="603"/>
      <c r="H780" s="603"/>
      <c r="I780" s="603"/>
      <c r="J780" s="603"/>
      <c r="K780" s="603"/>
      <c r="L780" s="603"/>
      <c r="M780" s="603"/>
      <c r="N780" s="603"/>
      <c r="O780" s="603"/>
      <c r="P780" s="603"/>
      <c r="Q780" s="603"/>
    </row>
    <row r="781" spans="1:17" x14ac:dyDescent="0.35">
      <c r="A781" s="603"/>
      <c r="B781" s="603"/>
      <c r="C781" s="603"/>
      <c r="D781" s="603"/>
      <c r="E781" s="603"/>
      <c r="F781" s="603"/>
      <c r="G781" s="603"/>
      <c r="H781" s="603"/>
      <c r="I781" s="603"/>
      <c r="J781" s="603"/>
      <c r="K781" s="603"/>
      <c r="L781" s="603"/>
      <c r="M781" s="603"/>
      <c r="N781" s="603"/>
      <c r="O781" s="603"/>
      <c r="P781" s="603"/>
      <c r="Q781" s="603"/>
    </row>
    <row r="782" spans="1:17" x14ac:dyDescent="0.35">
      <c r="A782" s="603"/>
      <c r="B782" s="603"/>
      <c r="C782" s="603"/>
      <c r="D782" s="603"/>
      <c r="E782" s="603"/>
      <c r="F782" s="603"/>
      <c r="G782" s="603"/>
      <c r="H782" s="603"/>
      <c r="I782" s="603"/>
      <c r="J782" s="603"/>
      <c r="K782" s="603"/>
      <c r="L782" s="603"/>
      <c r="M782" s="603"/>
      <c r="N782" s="603"/>
      <c r="O782" s="603"/>
      <c r="P782" s="603"/>
      <c r="Q782" s="603"/>
    </row>
    <row r="783" spans="1:17" x14ac:dyDescent="0.35">
      <c r="A783" s="603"/>
      <c r="B783" s="603"/>
      <c r="C783" s="603"/>
      <c r="D783" s="603"/>
      <c r="E783" s="603"/>
      <c r="F783" s="603"/>
      <c r="G783" s="603"/>
      <c r="H783" s="603"/>
      <c r="I783" s="603"/>
      <c r="J783" s="603"/>
      <c r="K783" s="603"/>
      <c r="L783" s="603"/>
      <c r="M783" s="603"/>
      <c r="N783" s="603"/>
      <c r="O783" s="603"/>
      <c r="P783" s="603"/>
      <c r="Q783" s="603"/>
    </row>
    <row r="784" spans="1:17" x14ac:dyDescent="0.35">
      <c r="A784" s="603"/>
      <c r="B784" s="603"/>
      <c r="C784" s="603"/>
      <c r="D784" s="603"/>
      <c r="E784" s="603"/>
      <c r="F784" s="603"/>
      <c r="G784" s="603"/>
      <c r="H784" s="603"/>
      <c r="I784" s="603"/>
      <c r="J784" s="603"/>
      <c r="K784" s="603"/>
      <c r="L784" s="603"/>
      <c r="M784" s="603"/>
      <c r="N784" s="603"/>
      <c r="O784" s="603"/>
      <c r="P784" s="603"/>
      <c r="Q784" s="603"/>
    </row>
    <row r="785" spans="1:17" ht="16" thickBot="1" x14ac:dyDescent="0.4">
      <c r="A785" s="980" t="s">
        <v>821</v>
      </c>
      <c r="B785" s="603"/>
      <c r="C785" s="603"/>
      <c r="D785" s="603"/>
      <c r="E785" s="603"/>
      <c r="F785" s="980" t="s">
        <v>822</v>
      </c>
      <c r="G785" s="603"/>
      <c r="H785" s="603"/>
      <c r="I785" s="603"/>
      <c r="J785" s="603"/>
      <c r="K785" s="603"/>
      <c r="L785" s="603"/>
      <c r="M785" s="603"/>
      <c r="N785" s="603"/>
      <c r="O785" s="603"/>
      <c r="P785" s="603"/>
      <c r="Q785" s="603"/>
    </row>
    <row r="786" spans="1:17" ht="46.5" x14ac:dyDescent="0.35">
      <c r="A786" s="981" t="s">
        <v>823</v>
      </c>
      <c r="B786" s="982" t="s">
        <v>824</v>
      </c>
      <c r="C786" s="983" t="s">
        <v>825</v>
      </c>
      <c r="D786" s="603"/>
      <c r="E786" s="603"/>
      <c r="F786" s="981" t="s">
        <v>826</v>
      </c>
      <c r="G786" s="982" t="s">
        <v>824</v>
      </c>
      <c r="H786" s="983" t="s">
        <v>825</v>
      </c>
      <c r="I786" s="603"/>
      <c r="J786" s="603"/>
      <c r="K786" s="603"/>
      <c r="L786" s="603"/>
      <c r="M786" s="603"/>
      <c r="N786" s="603"/>
      <c r="O786" s="603"/>
      <c r="P786" s="603"/>
      <c r="Q786" s="603"/>
    </row>
    <row r="787" spans="1:17" x14ac:dyDescent="0.35">
      <c r="A787" s="984"/>
      <c r="B787" s="985"/>
      <c r="C787" s="986"/>
      <c r="D787" s="603"/>
      <c r="E787" s="603"/>
      <c r="F787" s="984"/>
      <c r="G787" s="985"/>
      <c r="H787" s="986"/>
      <c r="I787" s="603"/>
      <c r="J787" s="603"/>
      <c r="K787" s="603"/>
      <c r="L787" s="603"/>
      <c r="M787" s="603"/>
      <c r="N787" s="603"/>
      <c r="O787" s="603"/>
      <c r="P787" s="603"/>
      <c r="Q787" s="603"/>
    </row>
    <row r="788" spans="1:17" x14ac:dyDescent="0.35">
      <c r="A788" s="984"/>
      <c r="B788" s="985"/>
      <c r="C788" s="986"/>
      <c r="D788" s="603"/>
      <c r="E788" s="603"/>
      <c r="F788" s="984"/>
      <c r="G788" s="985"/>
      <c r="H788" s="986"/>
      <c r="I788" s="603"/>
      <c r="J788" s="603"/>
      <c r="K788" s="603"/>
      <c r="L788" s="603"/>
      <c r="M788" s="603"/>
      <c r="N788" s="603"/>
      <c r="O788" s="603"/>
      <c r="P788" s="603"/>
      <c r="Q788" s="603"/>
    </row>
    <row r="789" spans="1:17" x14ac:dyDescent="0.35">
      <c r="A789" s="984"/>
      <c r="B789" s="985"/>
      <c r="C789" s="986"/>
      <c r="D789" s="603"/>
      <c r="E789" s="603"/>
      <c r="F789" s="984"/>
      <c r="G789" s="985"/>
      <c r="H789" s="986"/>
      <c r="I789" s="603"/>
      <c r="J789" s="603"/>
      <c r="K789" s="603"/>
      <c r="L789" s="603"/>
      <c r="M789" s="603"/>
      <c r="N789" s="603"/>
      <c r="O789" s="603"/>
      <c r="P789" s="603"/>
      <c r="Q789" s="603"/>
    </row>
    <row r="790" spans="1:17" x14ac:dyDescent="0.35">
      <c r="A790" s="984"/>
      <c r="B790" s="985"/>
      <c r="C790" s="986"/>
      <c r="D790" s="603"/>
      <c r="E790" s="603"/>
      <c r="F790" s="984"/>
      <c r="G790" s="985"/>
      <c r="H790" s="986"/>
      <c r="I790" s="603"/>
      <c r="J790" s="603"/>
      <c r="K790" s="603"/>
      <c r="L790" s="603"/>
      <c r="M790" s="603"/>
      <c r="N790" s="603"/>
      <c r="O790" s="603"/>
      <c r="P790" s="603"/>
      <c r="Q790" s="603"/>
    </row>
    <row r="791" spans="1:17" x14ac:dyDescent="0.35">
      <c r="A791" s="984"/>
      <c r="B791" s="985"/>
      <c r="C791" s="986"/>
      <c r="D791" s="603"/>
      <c r="E791" s="603"/>
      <c r="F791" s="984"/>
      <c r="G791" s="985"/>
      <c r="H791" s="986"/>
      <c r="I791" s="603"/>
      <c r="J791" s="603"/>
      <c r="K791" s="603"/>
      <c r="L791" s="603"/>
      <c r="M791" s="603"/>
      <c r="N791" s="603"/>
      <c r="O791" s="603"/>
      <c r="P791" s="603"/>
      <c r="Q791" s="603"/>
    </row>
    <row r="792" spans="1:17" x14ac:dyDescent="0.35">
      <c r="A792" s="984"/>
      <c r="B792" s="985"/>
      <c r="C792" s="986"/>
      <c r="D792" s="603"/>
      <c r="E792" s="603"/>
      <c r="F792" s="984"/>
      <c r="G792" s="985"/>
      <c r="H792" s="986"/>
      <c r="I792" s="603"/>
      <c r="J792" s="603"/>
      <c r="K792" s="603"/>
      <c r="L792" s="603"/>
      <c r="M792" s="603"/>
      <c r="N792" s="603"/>
      <c r="O792" s="603"/>
      <c r="P792" s="603"/>
      <c r="Q792" s="603"/>
    </row>
    <row r="793" spans="1:17" x14ac:dyDescent="0.35">
      <c r="A793" s="984"/>
      <c r="B793" s="985"/>
      <c r="C793" s="986"/>
      <c r="D793" s="603"/>
      <c r="E793" s="603"/>
      <c r="F793" s="984"/>
      <c r="G793" s="985"/>
      <c r="H793" s="986"/>
      <c r="I793" s="603"/>
      <c r="J793" s="603"/>
      <c r="K793" s="603"/>
      <c r="L793" s="603"/>
      <c r="M793" s="603"/>
      <c r="N793" s="603"/>
      <c r="O793" s="603"/>
      <c r="P793" s="603"/>
      <c r="Q793" s="603"/>
    </row>
    <row r="794" spans="1:17" x14ac:dyDescent="0.35">
      <c r="A794" s="984"/>
      <c r="B794" s="985"/>
      <c r="C794" s="986"/>
      <c r="D794" s="603"/>
      <c r="E794" s="603"/>
      <c r="F794" s="984"/>
      <c r="G794" s="985"/>
      <c r="H794" s="986"/>
      <c r="I794" s="603"/>
      <c r="J794" s="603"/>
      <c r="K794" s="603"/>
      <c r="L794" s="603"/>
      <c r="M794" s="603"/>
      <c r="N794" s="603"/>
      <c r="O794" s="603"/>
      <c r="P794" s="603"/>
      <c r="Q794" s="603"/>
    </row>
    <row r="795" spans="1:17" ht="16" thickBot="1" x14ac:dyDescent="0.4">
      <c r="A795" s="987" t="s">
        <v>327</v>
      </c>
      <c r="B795" s="604">
        <f>SUM(B787:B794)</f>
        <v>0</v>
      </c>
      <c r="C795" s="605">
        <f>SUM(C787:C794)</f>
        <v>0</v>
      </c>
      <c r="D795" s="603"/>
      <c r="E795" s="603"/>
      <c r="F795" s="988" t="s">
        <v>327</v>
      </c>
      <c r="G795" s="604">
        <f t="shared" ref="G795:H795" si="95">SUM(G787:G794)</f>
        <v>0</v>
      </c>
      <c r="H795" s="605">
        <f t="shared" si="95"/>
        <v>0</v>
      </c>
      <c r="I795" s="603"/>
      <c r="J795" s="603"/>
      <c r="K795" s="603"/>
      <c r="L795" s="603"/>
      <c r="M795" s="603"/>
      <c r="N795" s="603"/>
      <c r="O795" s="603"/>
      <c r="P795" s="603"/>
      <c r="Q795" s="603"/>
    </row>
    <row r="796" spans="1:17" x14ac:dyDescent="0.35">
      <c r="A796" s="603"/>
      <c r="B796" s="603"/>
      <c r="C796" s="603"/>
      <c r="D796" s="603"/>
      <c r="E796" s="603"/>
      <c r="F796" s="603"/>
      <c r="G796" s="603"/>
      <c r="H796" s="603"/>
      <c r="I796" s="603"/>
      <c r="J796" s="603"/>
      <c r="K796" s="603"/>
      <c r="L796" s="603"/>
      <c r="M796" s="603"/>
      <c r="N796" s="603"/>
      <c r="O796" s="603"/>
      <c r="P796" s="603"/>
      <c r="Q796" s="603"/>
    </row>
    <row r="797" spans="1:17" x14ac:dyDescent="0.35">
      <c r="A797" s="603"/>
      <c r="B797" s="603"/>
      <c r="C797" s="603"/>
      <c r="D797" s="603"/>
      <c r="E797" s="603"/>
      <c r="F797" s="603"/>
      <c r="G797" s="603"/>
      <c r="H797" s="603"/>
      <c r="I797" s="603"/>
      <c r="J797" s="603"/>
      <c r="K797" s="603"/>
      <c r="L797" s="603"/>
      <c r="M797" s="603"/>
      <c r="N797" s="603"/>
      <c r="O797" s="603"/>
      <c r="P797" s="603"/>
      <c r="Q797" s="603"/>
    </row>
    <row r="798" spans="1:17" x14ac:dyDescent="0.35">
      <c r="A798" s="603"/>
      <c r="B798" s="603"/>
      <c r="C798" s="603"/>
      <c r="D798" s="603"/>
      <c r="E798" s="603"/>
      <c r="F798" s="603"/>
      <c r="G798" s="603"/>
      <c r="H798" s="603"/>
      <c r="I798" s="603"/>
      <c r="J798" s="603"/>
      <c r="K798" s="603"/>
      <c r="L798" s="603"/>
      <c r="M798" s="603"/>
      <c r="N798" s="603"/>
      <c r="O798" s="603"/>
      <c r="P798" s="603"/>
      <c r="Q798" s="603"/>
    </row>
    <row r="799" spans="1:17" x14ac:dyDescent="0.35">
      <c r="A799" s="603"/>
      <c r="B799" s="603"/>
      <c r="C799" s="603"/>
      <c r="D799" s="603"/>
      <c r="E799" s="603"/>
      <c r="F799" s="603"/>
      <c r="G799" s="603"/>
      <c r="H799" s="603"/>
      <c r="I799" s="603"/>
      <c r="J799" s="603"/>
      <c r="K799" s="603"/>
      <c r="L799" s="603"/>
      <c r="M799" s="603"/>
      <c r="N799" s="603"/>
      <c r="O799" s="603"/>
      <c r="P799" s="603"/>
      <c r="Q799" s="603"/>
    </row>
    <row r="800" spans="1:17" x14ac:dyDescent="0.35">
      <c r="A800" s="603"/>
      <c r="B800" s="603"/>
      <c r="C800" s="603"/>
      <c r="D800" s="603"/>
      <c r="E800" s="603"/>
      <c r="F800" s="603"/>
      <c r="G800" s="603"/>
      <c r="H800" s="603"/>
      <c r="I800" s="603"/>
      <c r="J800" s="603"/>
      <c r="K800" s="603"/>
      <c r="L800" s="603"/>
      <c r="M800" s="603"/>
      <c r="N800" s="603"/>
      <c r="O800" s="603"/>
      <c r="P800" s="603"/>
      <c r="Q800" s="603"/>
    </row>
    <row r="801" spans="1:17" x14ac:dyDescent="0.35">
      <c r="A801" s="603"/>
      <c r="B801" s="603"/>
      <c r="C801" s="603"/>
      <c r="D801" s="603"/>
      <c r="E801" s="603"/>
      <c r="F801" s="603"/>
      <c r="G801" s="603"/>
      <c r="H801" s="603"/>
      <c r="I801" s="603"/>
      <c r="J801" s="603"/>
      <c r="K801" s="603"/>
      <c r="L801" s="603"/>
      <c r="M801" s="603"/>
      <c r="N801" s="603"/>
      <c r="O801" s="603"/>
      <c r="P801" s="603"/>
      <c r="Q801" s="603"/>
    </row>
    <row r="802" spans="1:17" x14ac:dyDescent="0.35">
      <c r="A802" s="603"/>
      <c r="B802" s="603"/>
      <c r="C802" s="603"/>
      <c r="D802" s="603"/>
      <c r="E802" s="603"/>
      <c r="F802" s="603"/>
      <c r="G802" s="603"/>
      <c r="H802" s="603"/>
      <c r="I802" s="603"/>
      <c r="J802" s="603"/>
      <c r="K802" s="603"/>
      <c r="L802" s="603"/>
      <c r="M802" s="603"/>
      <c r="N802" s="603"/>
      <c r="O802" s="603"/>
      <c r="P802" s="603"/>
      <c r="Q802" s="603"/>
    </row>
  </sheetData>
  <sheetProtection algorithmName="SHA-512" hashValue="jGgWSSA3mSUc5+6Fkr8rWrxXopVkz2Cqld+BY6ZDtm3tDy//oIfrhWcChX+VmWuz8TBiYQCUQTD2g64m8EBN2w==" saltValue="3hjOEedZRNht40mPDRD24g==" spinCount="100000" sheet="1" objects="1" scenarios="1"/>
  <mergeCells count="106">
    <mergeCell ref="A762:Q762"/>
    <mergeCell ref="A300:Q300"/>
    <mergeCell ref="A304:O304"/>
    <mergeCell ref="L1:Q1"/>
    <mergeCell ref="A23:Q23"/>
    <mergeCell ref="A59:B59"/>
    <mergeCell ref="A63:B63"/>
    <mergeCell ref="A57:B58"/>
    <mergeCell ref="A40:Q40"/>
    <mergeCell ref="B1:G1"/>
    <mergeCell ref="C42:D42"/>
    <mergeCell ref="C25:D25"/>
    <mergeCell ref="A292:G292"/>
    <mergeCell ref="A214:Q214"/>
    <mergeCell ref="B106:E106"/>
    <mergeCell ref="A70:I70"/>
    <mergeCell ref="A73:A76"/>
    <mergeCell ref="B73:B76"/>
    <mergeCell ref="H73:I74"/>
    <mergeCell ref="A77:A80"/>
    <mergeCell ref="B77:B80"/>
    <mergeCell ref="B303:C303"/>
    <mergeCell ref="F93:G93"/>
    <mergeCell ref="H96:I97"/>
    <mergeCell ref="A103:XFD103"/>
    <mergeCell ref="A121:XFD121"/>
    <mergeCell ref="A137:XFD137"/>
    <mergeCell ref="A81:A84"/>
    <mergeCell ref="B81:B84"/>
    <mergeCell ref="A85:A88"/>
    <mergeCell ref="B85:B88"/>
    <mergeCell ref="A91:T91"/>
    <mergeCell ref="A384:XFD384"/>
    <mergeCell ref="B385:C385"/>
    <mergeCell ref="A386:O386"/>
    <mergeCell ref="A396:O396"/>
    <mergeCell ref="A406:O406"/>
    <mergeCell ref="A152:XFD152"/>
    <mergeCell ref="B159:C159"/>
    <mergeCell ref="A174:XFD174"/>
    <mergeCell ref="A365:XFD365"/>
    <mergeCell ref="C367:D367"/>
    <mergeCell ref="A354:O354"/>
    <mergeCell ref="A344:O344"/>
    <mergeCell ref="A334:O334"/>
    <mergeCell ref="A324:O324"/>
    <mergeCell ref="A314:O314"/>
    <mergeCell ref="A229:G229"/>
    <mergeCell ref="A217:G217"/>
    <mergeCell ref="A277:G277"/>
    <mergeCell ref="A265:G265"/>
    <mergeCell ref="A253:G253"/>
    <mergeCell ref="A241:G241"/>
    <mergeCell ref="D507:E507"/>
    <mergeCell ref="A522:C522"/>
    <mergeCell ref="D522:E522"/>
    <mergeCell ref="A460:C460"/>
    <mergeCell ref="D460:E460"/>
    <mergeCell ref="A416:O416"/>
    <mergeCell ref="A426:O426"/>
    <mergeCell ref="A436:O436"/>
    <mergeCell ref="A448:S448"/>
    <mergeCell ref="A475:C475"/>
    <mergeCell ref="D475:E475"/>
    <mergeCell ref="A459:I459"/>
    <mergeCell ref="A491:C491"/>
    <mergeCell ref="D491:E491"/>
    <mergeCell ref="A506:I506"/>
    <mergeCell ref="A507:C507"/>
    <mergeCell ref="A731:C731"/>
    <mergeCell ref="D731:E731"/>
    <mergeCell ref="A746:C746"/>
    <mergeCell ref="D746:E746"/>
    <mergeCell ref="A701:C701"/>
    <mergeCell ref="D701:E701"/>
    <mergeCell ref="A715:C715"/>
    <mergeCell ref="D715:E715"/>
    <mergeCell ref="A670:C670"/>
    <mergeCell ref="D670:E670"/>
    <mergeCell ref="A700:I700"/>
    <mergeCell ref="A730:I730"/>
    <mergeCell ref="A640:C640"/>
    <mergeCell ref="D640:E640"/>
    <mergeCell ref="A654:C654"/>
    <mergeCell ref="D654:E654"/>
    <mergeCell ref="A639:I639"/>
    <mergeCell ref="A684:C684"/>
    <mergeCell ref="D684:E684"/>
    <mergeCell ref="A669:I669"/>
    <mergeCell ref="A609:C609"/>
    <mergeCell ref="D609:E609"/>
    <mergeCell ref="A624:C624"/>
    <mergeCell ref="D624:E624"/>
    <mergeCell ref="A608:F608"/>
    <mergeCell ref="A567:AJ567"/>
    <mergeCell ref="A579:C579"/>
    <mergeCell ref="D579:E579"/>
    <mergeCell ref="A593:C593"/>
    <mergeCell ref="D593:E593"/>
    <mergeCell ref="D570:G572"/>
    <mergeCell ref="A578:I578"/>
    <mergeCell ref="A537:I537"/>
    <mergeCell ref="A538:C538"/>
    <mergeCell ref="D538:E538"/>
    <mergeCell ref="A552:C552"/>
    <mergeCell ref="D552:E552"/>
  </mergeCells>
  <hyperlinks>
    <hyperlink ref="C771" r:id="rId1" xr:uid="{244D474A-35FB-4FE8-A369-15303A9FB2BC}"/>
    <hyperlink ref="A785" r:id="rId2" xr:uid="{AD487A75-B94D-44F5-9C90-AE61F9B76AA0}"/>
    <hyperlink ref="F785" r:id="rId3" display="Guidance on Purchased Goods and Services" xr:uid="{90C0E5D0-7C12-4134-B3B1-899B7A8E1DE7}"/>
    <hyperlink ref="D297" r:id="rId4" xr:uid="{45AACA26-15E3-4630-A434-CC6740B7F6E0}"/>
    <hyperlink ref="B489" r:id="rId5" xr:uid="{68FC8702-27FF-46D6-8CDD-3972D9097CB8}"/>
    <hyperlink ref="B520" r:id="rId6" xr:uid="{BE435F7A-6743-4130-B28A-74DC73BF291B}"/>
    <hyperlink ref="B744" r:id="rId7" xr:uid="{D3D6AE63-4995-40F2-AE16-1C14CF2D3D8D}"/>
  </hyperlinks>
  <pageMargins left="0.7" right="0.7" top="0.75" bottom="0.75" header="0.3" footer="0.3"/>
  <pageSetup orientation="portrait" horizontalDpi="4294967293" r:id="rId8"/>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9999"/>
  </sheetPr>
  <dimension ref="A1:S565"/>
  <sheetViews>
    <sheetView zoomScale="60" zoomScaleNormal="60" workbookViewId="0">
      <selection activeCell="A108" sqref="A108"/>
    </sheetView>
  </sheetViews>
  <sheetFormatPr baseColWidth="10" defaultColWidth="8.81640625" defaultRowHeight="15.5" x14ac:dyDescent="0.35"/>
  <cols>
    <col min="1" max="1" width="48.81640625" style="731" customWidth="1"/>
    <col min="2" max="2" width="20.81640625" style="617" customWidth="1"/>
    <col min="3" max="3" width="17.81640625" style="634" customWidth="1"/>
    <col min="4" max="4" width="25.26953125" style="617" customWidth="1"/>
    <col min="5" max="5" width="24.81640625" style="617" bestFit="1" customWidth="1"/>
    <col min="6" max="6" width="25.453125" style="617" bestFit="1" customWidth="1"/>
    <col min="7" max="7" width="24.453125" style="617" bestFit="1" customWidth="1"/>
    <col min="8" max="8" width="26.7265625" style="617" bestFit="1" customWidth="1"/>
    <col min="9" max="9" width="25.54296875" style="617" bestFit="1" customWidth="1"/>
    <col min="10" max="10" width="22.26953125" style="617" customWidth="1"/>
    <col min="11" max="11" width="23.26953125" style="617" customWidth="1"/>
    <col min="12" max="12" width="20.1796875" style="617" customWidth="1"/>
    <col min="13" max="13" width="21.81640625" style="617" customWidth="1"/>
    <col min="14" max="14" width="16.7265625" style="617" customWidth="1"/>
    <col min="15" max="15" width="16.453125" style="617" customWidth="1"/>
    <col min="16" max="16" width="18.453125" style="617" customWidth="1"/>
    <col min="17" max="17" width="19.1796875" style="617" customWidth="1"/>
    <col min="18" max="18" width="23.81640625" style="617" customWidth="1"/>
    <col min="19" max="19" width="20" style="617" customWidth="1"/>
    <col min="20" max="20" width="21.1796875" style="617" customWidth="1"/>
    <col min="21" max="21" width="10.453125" style="617" customWidth="1"/>
    <col min="22" max="22" width="20.1796875" style="617" customWidth="1"/>
    <col min="23" max="23" width="13.81640625" style="617" customWidth="1"/>
    <col min="24" max="24" width="14.1796875" style="617" customWidth="1"/>
    <col min="25" max="25" width="13.1796875" style="617" customWidth="1"/>
    <col min="26" max="26" width="8.81640625" style="617"/>
    <col min="27" max="27" width="14.81640625" style="617" customWidth="1"/>
    <col min="28" max="28" width="11.26953125" style="617" customWidth="1"/>
    <col min="29" max="29" width="15.1796875" style="617" customWidth="1"/>
    <col min="30" max="30" width="12" style="617" customWidth="1"/>
    <col min="31" max="16384" width="8.81640625" style="617"/>
  </cols>
  <sheetData>
    <row r="1" spans="1:17" ht="69" customHeight="1" thickBot="1" x14ac:dyDescent="0.4">
      <c r="A1" s="989" t="s">
        <v>121</v>
      </c>
      <c r="B1" s="1512" t="s">
        <v>827</v>
      </c>
      <c r="C1" s="1492"/>
      <c r="D1" s="1492"/>
      <c r="E1" s="1493"/>
      <c r="F1" s="1471" t="s">
        <v>318</v>
      </c>
      <c r="G1" s="1472"/>
      <c r="H1" s="1472"/>
      <c r="I1" s="1472"/>
      <c r="J1" s="1472"/>
      <c r="K1" s="1473"/>
    </row>
    <row r="2" spans="1:17" ht="36.75" customHeight="1" x14ac:dyDescent="0.35">
      <c r="A2" s="652"/>
      <c r="F2" s="657" t="s">
        <v>319</v>
      </c>
      <c r="G2" s="658"/>
      <c r="H2" s="659" t="s">
        <v>320</v>
      </c>
      <c r="I2" s="660"/>
      <c r="J2" s="659" t="s">
        <v>321</v>
      </c>
      <c r="K2" s="661"/>
    </row>
    <row r="3" spans="1:17" x14ac:dyDescent="0.35">
      <c r="A3" s="662"/>
      <c r="B3" s="633"/>
      <c r="C3" s="617"/>
      <c r="G3" s="635"/>
      <c r="H3" s="635"/>
      <c r="I3" s="635"/>
      <c r="J3" s="597"/>
      <c r="K3" s="635"/>
      <c r="L3" s="597"/>
    </row>
    <row r="4" spans="1:17" ht="37" customHeight="1" x14ac:dyDescent="0.35">
      <c r="A4" s="662"/>
      <c r="B4" s="615" t="s">
        <v>324</v>
      </c>
      <c r="C4" s="617"/>
      <c r="D4" s="1528" t="s">
        <v>828</v>
      </c>
      <c r="E4" s="1528"/>
      <c r="F4" s="1528"/>
      <c r="G4" s="1528"/>
      <c r="H4" s="1528"/>
      <c r="I4" s="635"/>
      <c r="J4" s="597"/>
      <c r="L4" s="597"/>
    </row>
    <row r="5" spans="1:17" ht="42" x14ac:dyDescent="0.35">
      <c r="A5" s="990" t="str">
        <f>A14</f>
        <v>Domestic Product Transport (excluding wine club shipments)</v>
      </c>
      <c r="B5" s="663">
        <f>SUM(H28,H43,H59,H74)</f>
        <v>0</v>
      </c>
      <c r="C5" s="617"/>
      <c r="D5" s="1528"/>
      <c r="E5" s="1528"/>
      <c r="F5" s="1528"/>
      <c r="G5" s="1528"/>
      <c r="H5" s="1528"/>
      <c r="I5" s="635"/>
      <c r="J5" s="597"/>
      <c r="K5" s="635"/>
      <c r="L5" s="597"/>
    </row>
    <row r="6" spans="1:17" ht="21" customHeight="1" x14ac:dyDescent="0.35">
      <c r="A6" s="990" t="s">
        <v>151</v>
      </c>
      <c r="B6" s="663">
        <f>SUM(H91,H105)</f>
        <v>0</v>
      </c>
      <c r="C6" s="617"/>
      <c r="D6" s="1530" t="s">
        <v>829</v>
      </c>
      <c r="E6" s="1530"/>
      <c r="F6" s="1530"/>
      <c r="G6" s="1530"/>
      <c r="H6" s="1530"/>
      <c r="I6" s="635"/>
      <c r="J6" s="597"/>
      <c r="K6" s="635"/>
      <c r="L6" s="597"/>
    </row>
    <row r="7" spans="1:17" ht="42" x14ac:dyDescent="0.35">
      <c r="A7" s="990" t="s">
        <v>830</v>
      </c>
      <c r="B7" s="663">
        <f>SUM(F121)</f>
        <v>0</v>
      </c>
      <c r="C7" s="617"/>
      <c r="D7" s="1530"/>
      <c r="E7" s="1530"/>
      <c r="F7" s="1530"/>
      <c r="G7" s="1530"/>
      <c r="H7" s="1530"/>
      <c r="I7" s="635"/>
      <c r="J7" s="597"/>
      <c r="K7" s="635"/>
      <c r="L7" s="597"/>
    </row>
    <row r="8" spans="1:17" ht="21" x14ac:dyDescent="0.35">
      <c r="A8" s="990" t="s">
        <v>831</v>
      </c>
      <c r="B8" s="663">
        <f>SUM(H137,H152,H168,H183)</f>
        <v>0</v>
      </c>
      <c r="C8" s="617"/>
      <c r="G8" s="635"/>
      <c r="H8" s="635"/>
      <c r="I8" s="635"/>
      <c r="J8" s="597"/>
      <c r="K8" s="635"/>
      <c r="L8" s="597"/>
    </row>
    <row r="9" spans="1:17" ht="21" x14ac:dyDescent="0.35">
      <c r="A9" s="990" t="s">
        <v>832</v>
      </c>
      <c r="B9" s="663">
        <f>SUM(H200,H215,H231,H246)</f>
        <v>0</v>
      </c>
      <c r="C9" s="617"/>
      <c r="G9" s="635"/>
      <c r="H9" s="635"/>
      <c r="I9" s="635"/>
      <c r="J9" s="597"/>
      <c r="K9" s="635"/>
      <c r="L9" s="597"/>
    </row>
    <row r="10" spans="1:17" ht="21" x14ac:dyDescent="0.35">
      <c r="A10" s="990" t="s">
        <v>833</v>
      </c>
      <c r="B10" s="663">
        <f>SUM(I261)</f>
        <v>0</v>
      </c>
      <c r="C10" s="617"/>
      <c r="G10" s="635"/>
      <c r="H10" s="635"/>
      <c r="I10" s="635"/>
      <c r="J10" s="597"/>
      <c r="K10" s="635"/>
      <c r="L10" s="597"/>
    </row>
    <row r="11" spans="1:17" ht="21" x14ac:dyDescent="0.35">
      <c r="A11" s="990" t="s">
        <v>327</v>
      </c>
      <c r="B11" s="663">
        <f>SUM(B5:B10)</f>
        <v>0</v>
      </c>
      <c r="C11" s="617"/>
      <c r="G11" s="635"/>
      <c r="H11" s="635"/>
      <c r="I11" s="635"/>
      <c r="J11" s="597"/>
      <c r="K11" s="991"/>
      <c r="L11" s="597"/>
    </row>
    <row r="12" spans="1:17" x14ac:dyDescent="0.35">
      <c r="K12" s="992"/>
      <c r="L12" s="719"/>
      <c r="M12" s="719"/>
    </row>
    <row r="13" spans="1:17" x14ac:dyDescent="0.35">
      <c r="A13" s="652"/>
      <c r="B13" s="652"/>
      <c r="C13" s="652"/>
      <c r="D13" s="644"/>
      <c r="E13" s="634"/>
      <c r="F13" s="634"/>
      <c r="G13" s="634"/>
      <c r="H13" s="634"/>
      <c r="I13" s="634"/>
      <c r="J13" s="731"/>
      <c r="K13" s="731"/>
    </row>
    <row r="14" spans="1:17" s="667" customFormat="1" ht="23.5" x14ac:dyDescent="0.55000000000000004">
      <c r="A14" s="1578" t="s">
        <v>834</v>
      </c>
      <c r="B14" s="1579"/>
      <c r="C14" s="1579"/>
      <c r="D14" s="1579"/>
      <c r="E14" s="1579"/>
      <c r="F14" s="1579"/>
      <c r="G14" s="1579"/>
      <c r="H14" s="1579"/>
      <c r="I14" s="1579"/>
      <c r="J14" s="1579"/>
      <c r="K14" s="1579"/>
      <c r="L14" s="1579"/>
      <c r="M14" s="1579"/>
      <c r="N14" s="1579"/>
      <c r="O14" s="923"/>
      <c r="P14" s="923"/>
      <c r="Q14" s="923"/>
    </row>
    <row r="15" spans="1:17" s="667" customFormat="1" ht="23.5" x14ac:dyDescent="0.55000000000000004">
      <c r="A15" s="993"/>
      <c r="B15" s="922"/>
      <c r="C15" s="922"/>
      <c r="D15" s="1477" t="s">
        <v>330</v>
      </c>
      <c r="E15" s="1478"/>
      <c r="F15" s="922"/>
      <c r="G15" s="922"/>
      <c r="H15" s="922"/>
      <c r="I15" s="922"/>
      <c r="J15" s="923"/>
      <c r="K15" s="923"/>
      <c r="L15" s="923"/>
      <c r="M15" s="923"/>
      <c r="N15" s="923"/>
      <c r="O15" s="923"/>
      <c r="P15" s="923"/>
      <c r="Q15" s="923"/>
    </row>
    <row r="16" spans="1:17" s="667" customFormat="1" ht="24" thickBot="1" x14ac:dyDescent="0.6">
      <c r="A16" s="1575" t="s">
        <v>835</v>
      </c>
      <c r="B16" s="1576"/>
      <c r="C16" s="1576"/>
      <c r="D16" s="1576"/>
      <c r="E16" s="1576"/>
      <c r="F16" s="1576"/>
      <c r="G16" s="1576"/>
      <c r="H16" s="1576"/>
      <c r="I16" s="1576"/>
      <c r="J16" s="1577"/>
    </row>
    <row r="17" spans="1:14" s="668" customFormat="1" ht="55.5" x14ac:dyDescent="0.45">
      <c r="A17" s="994" t="s">
        <v>836</v>
      </c>
      <c r="B17" s="994" t="s">
        <v>837</v>
      </c>
      <c r="C17" s="994" t="s">
        <v>838</v>
      </c>
      <c r="D17" s="995" t="s">
        <v>1768</v>
      </c>
      <c r="E17" s="996" t="s">
        <v>1765</v>
      </c>
      <c r="F17" s="996" t="s">
        <v>1766</v>
      </c>
      <c r="G17" s="997" t="s">
        <v>1767</v>
      </c>
      <c r="H17" s="998" t="s">
        <v>580</v>
      </c>
      <c r="I17" s="807"/>
      <c r="J17" s="807"/>
      <c r="K17" s="807"/>
      <c r="L17" s="807"/>
      <c r="M17" s="807"/>
      <c r="N17" s="807"/>
    </row>
    <row r="18" spans="1:14" x14ac:dyDescent="0.35">
      <c r="A18" s="692"/>
      <c r="B18" s="925"/>
      <c r="C18" s="925"/>
      <c r="D18" s="964">
        <f>SUM(B18*0.001)*C18</f>
        <v>0</v>
      </c>
      <c r="E18" s="999">
        <f>'Emission Factors'!$F$501*D18*0.001</f>
        <v>0</v>
      </c>
      <c r="F18" s="688">
        <f>'Emission Factors'!$G$501*D18*0.001</f>
        <v>0</v>
      </c>
      <c r="G18" s="688">
        <f>'Emission Factors'!$E$501*D18*0.001</f>
        <v>0</v>
      </c>
      <c r="H18" s="744">
        <f>SUM(G18,F18,E18)</f>
        <v>0</v>
      </c>
    </row>
    <row r="19" spans="1:14" x14ac:dyDescent="0.35">
      <c r="A19" s="692"/>
      <c r="B19" s="925"/>
      <c r="C19" s="925"/>
      <c r="D19" s="964">
        <f t="shared" ref="D19:D27" si="0">SUM(B19*0.001)*C19</f>
        <v>0</v>
      </c>
      <c r="E19" s="999">
        <f>'Emission Factors'!$F$501*D19*0.001</f>
        <v>0</v>
      </c>
      <c r="F19" s="688">
        <f>'Emission Factors'!$G$501*D19*0.001</f>
        <v>0</v>
      </c>
      <c r="G19" s="688">
        <f>'Emission Factors'!$E$501*D19*0.001</f>
        <v>0</v>
      </c>
      <c r="H19" s="744">
        <f t="shared" ref="H19:H27" si="1">SUM(G19,F19,E19)</f>
        <v>0</v>
      </c>
    </row>
    <row r="20" spans="1:14" x14ac:dyDescent="0.35">
      <c r="A20" s="692"/>
      <c r="B20" s="925"/>
      <c r="C20" s="925"/>
      <c r="D20" s="964">
        <f t="shared" si="0"/>
        <v>0</v>
      </c>
      <c r="E20" s="999">
        <f>'Emission Factors'!$F$501*D20*0.001</f>
        <v>0</v>
      </c>
      <c r="F20" s="688">
        <f>'Emission Factors'!$G$501*D20*0.001</f>
        <v>0</v>
      </c>
      <c r="G20" s="688">
        <f>'Emission Factors'!$E$501*D20*0.001</f>
        <v>0</v>
      </c>
      <c r="H20" s="744">
        <f t="shared" si="1"/>
        <v>0</v>
      </c>
    </row>
    <row r="21" spans="1:14" x14ac:dyDescent="0.35">
      <c r="A21" s="692"/>
      <c r="B21" s="925"/>
      <c r="C21" s="925"/>
      <c r="D21" s="964">
        <f t="shared" si="0"/>
        <v>0</v>
      </c>
      <c r="E21" s="999">
        <f>'Emission Factors'!$F$501*D21*0.001</f>
        <v>0</v>
      </c>
      <c r="F21" s="688">
        <f>'Emission Factors'!$G$501*D21*0.001</f>
        <v>0</v>
      </c>
      <c r="G21" s="688">
        <f>'Emission Factors'!$E$501*D21*0.001</f>
        <v>0</v>
      </c>
      <c r="H21" s="744">
        <f t="shared" si="1"/>
        <v>0</v>
      </c>
    </row>
    <row r="22" spans="1:14" x14ac:dyDescent="0.35">
      <c r="A22" s="692"/>
      <c r="B22" s="925"/>
      <c r="C22" s="925"/>
      <c r="D22" s="964">
        <f t="shared" si="0"/>
        <v>0</v>
      </c>
      <c r="E22" s="999">
        <f>'Emission Factors'!$F$501*D22*0.001</f>
        <v>0</v>
      </c>
      <c r="F22" s="688">
        <f>'Emission Factors'!$G$501*D22*0.001</f>
        <v>0</v>
      </c>
      <c r="G22" s="688">
        <f>'Emission Factors'!$E$501*D22*0.001</f>
        <v>0</v>
      </c>
      <c r="H22" s="744">
        <f t="shared" si="1"/>
        <v>0</v>
      </c>
    </row>
    <row r="23" spans="1:14" x14ac:dyDescent="0.35">
      <c r="A23" s="692"/>
      <c r="B23" s="925"/>
      <c r="C23" s="925"/>
      <c r="D23" s="964">
        <f t="shared" si="0"/>
        <v>0</v>
      </c>
      <c r="E23" s="999">
        <f>'Emission Factors'!$F$501*D23*0.001</f>
        <v>0</v>
      </c>
      <c r="F23" s="688">
        <f>'Emission Factors'!$G$501*D23*0.001</f>
        <v>0</v>
      </c>
      <c r="G23" s="688">
        <f>'Emission Factors'!$E$501*D23*0.001</f>
        <v>0</v>
      </c>
      <c r="H23" s="744">
        <f t="shared" si="1"/>
        <v>0</v>
      </c>
    </row>
    <row r="24" spans="1:14" x14ac:dyDescent="0.35">
      <c r="A24" s="692"/>
      <c r="B24" s="925"/>
      <c r="C24" s="925"/>
      <c r="D24" s="964">
        <f t="shared" si="0"/>
        <v>0</v>
      </c>
      <c r="E24" s="999">
        <f>'Emission Factors'!$F$501*D24*0.001</f>
        <v>0</v>
      </c>
      <c r="F24" s="688">
        <f>'Emission Factors'!$G$501*D24*0.001</f>
        <v>0</v>
      </c>
      <c r="G24" s="688">
        <f>'Emission Factors'!$E$501*D24*0.001</f>
        <v>0</v>
      </c>
      <c r="H24" s="744">
        <f t="shared" si="1"/>
        <v>0</v>
      </c>
    </row>
    <row r="25" spans="1:14" x14ac:dyDescent="0.35">
      <c r="A25" s="692"/>
      <c r="B25" s="925"/>
      <c r="C25" s="925"/>
      <c r="D25" s="964">
        <f t="shared" si="0"/>
        <v>0</v>
      </c>
      <c r="E25" s="999">
        <f>'Emission Factors'!$F$501*D25*0.001</f>
        <v>0</v>
      </c>
      <c r="F25" s="688">
        <f>'Emission Factors'!$G$501*D25*0.001</f>
        <v>0</v>
      </c>
      <c r="G25" s="688">
        <f>'Emission Factors'!$E$501*D25*0.001</f>
        <v>0</v>
      </c>
      <c r="H25" s="744">
        <f t="shared" si="1"/>
        <v>0</v>
      </c>
    </row>
    <row r="26" spans="1:14" x14ac:dyDescent="0.35">
      <c r="A26" s="692"/>
      <c r="B26" s="925"/>
      <c r="C26" s="925"/>
      <c r="D26" s="964">
        <f t="shared" si="0"/>
        <v>0</v>
      </c>
      <c r="E26" s="999">
        <f>'Emission Factors'!$F$501*D26*0.001</f>
        <v>0</v>
      </c>
      <c r="F26" s="688">
        <f>'Emission Factors'!$G$501*D26*0.001</f>
        <v>0</v>
      </c>
      <c r="G26" s="688">
        <f>'Emission Factors'!$E$501*D26*0.001</f>
        <v>0</v>
      </c>
      <c r="H26" s="744">
        <f t="shared" si="1"/>
        <v>0</v>
      </c>
    </row>
    <row r="27" spans="1:14" ht="16" thickBot="1" x14ac:dyDescent="0.4">
      <c r="A27" s="692"/>
      <c r="B27" s="925"/>
      <c r="C27" s="925"/>
      <c r="D27" s="964">
        <f t="shared" si="0"/>
        <v>0</v>
      </c>
      <c r="E27" s="999">
        <f>'Emission Factors'!$F$501*D27*0.001</f>
        <v>0</v>
      </c>
      <c r="F27" s="688">
        <f>'Emission Factors'!$G$501*D27*0.001</f>
        <v>0</v>
      </c>
      <c r="G27" s="1000">
        <f>'Emission Factors'!$E$501*D27*0.001</f>
        <v>0</v>
      </c>
      <c r="H27" s="1001">
        <f t="shared" si="1"/>
        <v>0</v>
      </c>
    </row>
    <row r="28" spans="1:14" ht="16" thickBot="1" x14ac:dyDescent="0.4">
      <c r="A28" s="644" t="s">
        <v>840</v>
      </c>
      <c r="B28" s="1002"/>
      <c r="C28" s="1002"/>
      <c r="E28" s="634"/>
      <c r="F28" s="634"/>
      <c r="G28" s="684" t="s">
        <v>1699</v>
      </c>
      <c r="H28" s="686">
        <f>SUM(H18:H27)</f>
        <v>0</v>
      </c>
      <c r="I28" s="634"/>
      <c r="J28" s="731"/>
      <c r="K28" s="731"/>
    </row>
    <row r="29" spans="1:14" x14ac:dyDescent="0.35">
      <c r="A29" s="644"/>
      <c r="B29" s="1002"/>
      <c r="C29" s="1002"/>
      <c r="E29" s="634"/>
      <c r="F29" s="634"/>
      <c r="G29" s="634"/>
      <c r="H29" s="634"/>
      <c r="I29" s="634"/>
      <c r="J29" s="731"/>
      <c r="K29" s="731"/>
    </row>
    <row r="30" spans="1:14" s="667" customFormat="1" ht="23.5" x14ac:dyDescent="0.55000000000000004">
      <c r="A30" s="1003"/>
      <c r="B30" s="1003"/>
      <c r="C30" s="1003"/>
      <c r="D30" s="1477" t="s">
        <v>330</v>
      </c>
      <c r="E30" s="1478"/>
      <c r="F30" s="851"/>
      <c r="G30" s="851"/>
      <c r="H30" s="851"/>
      <c r="I30" s="851"/>
      <c r="J30" s="836"/>
      <c r="K30" s="836"/>
    </row>
    <row r="31" spans="1:14" s="667" customFormat="1" ht="24" thickBot="1" x14ac:dyDescent="0.6">
      <c r="A31" s="1573" t="s">
        <v>841</v>
      </c>
      <c r="B31" s="1574"/>
      <c r="C31" s="1574"/>
      <c r="D31" s="1574"/>
      <c r="E31" s="1574"/>
      <c r="F31" s="1574"/>
      <c r="G31" s="1574"/>
      <c r="H31" s="1574"/>
      <c r="I31" s="1574"/>
      <c r="J31" s="1574"/>
      <c r="K31" s="1574"/>
    </row>
    <row r="32" spans="1:14" s="668" customFormat="1" ht="55.5" x14ac:dyDescent="0.45">
      <c r="A32" s="994" t="s">
        <v>836</v>
      </c>
      <c r="B32" s="994" t="s">
        <v>842</v>
      </c>
      <c r="C32" s="994" t="s">
        <v>838</v>
      </c>
      <c r="D32" s="995" t="s">
        <v>839</v>
      </c>
      <c r="E32" s="996" t="s">
        <v>1765</v>
      </c>
      <c r="F32" s="996" t="s">
        <v>1766</v>
      </c>
      <c r="G32" s="997" t="s">
        <v>1767</v>
      </c>
      <c r="H32" s="998" t="s">
        <v>580</v>
      </c>
      <c r="I32" s="807"/>
    </row>
    <row r="33" spans="1:11" x14ac:dyDescent="0.35">
      <c r="A33" s="692"/>
      <c r="B33" s="925"/>
      <c r="C33" s="925"/>
      <c r="D33" s="964">
        <f>SUM(B33/1000)*C33</f>
        <v>0</v>
      </c>
      <c r="E33" s="999">
        <f>'Emission Factors'!$J$457*D33*0.001</f>
        <v>0</v>
      </c>
      <c r="F33" s="999">
        <f>'Emission Factors'!$K$457*D33*0.001</f>
        <v>0</v>
      </c>
      <c r="G33" s="688">
        <f>'Emission Factors'!$I$457*D33*0.001</f>
        <v>0</v>
      </c>
      <c r="H33" s="744">
        <f>SUM(G33,F33,E33)</f>
        <v>0</v>
      </c>
    </row>
    <row r="34" spans="1:11" x14ac:dyDescent="0.35">
      <c r="A34" s="692"/>
      <c r="B34" s="925"/>
      <c r="C34" s="925"/>
      <c r="D34" s="964">
        <f t="shared" ref="D34:D42" si="2">SUM(B34/1000)*C34</f>
        <v>0</v>
      </c>
      <c r="E34" s="999">
        <f>'Emission Factors'!$J$457*D34*0.001</f>
        <v>0</v>
      </c>
      <c r="F34" s="999">
        <f>'Emission Factors'!$K$457*D34*0.001</f>
        <v>0</v>
      </c>
      <c r="G34" s="688">
        <f>'Emission Factors'!$I$457*D34*0.001</f>
        <v>0</v>
      </c>
      <c r="H34" s="744">
        <f t="shared" ref="H34:H42" si="3">SUM(G34,F34,E34)</f>
        <v>0</v>
      </c>
    </row>
    <row r="35" spans="1:11" x14ac:dyDescent="0.35">
      <c r="A35" s="692"/>
      <c r="B35" s="925"/>
      <c r="C35" s="925"/>
      <c r="D35" s="964">
        <f t="shared" si="2"/>
        <v>0</v>
      </c>
      <c r="E35" s="999">
        <f>'Emission Factors'!$J$457*D35*0.001</f>
        <v>0</v>
      </c>
      <c r="F35" s="999">
        <f>'Emission Factors'!$K$457*D35*0.001</f>
        <v>0</v>
      </c>
      <c r="G35" s="688">
        <f>'Emission Factors'!$I$457*D35*0.001</f>
        <v>0</v>
      </c>
      <c r="H35" s="744">
        <f t="shared" si="3"/>
        <v>0</v>
      </c>
    </row>
    <row r="36" spans="1:11" x14ac:dyDescent="0.35">
      <c r="A36" s="692"/>
      <c r="B36" s="925"/>
      <c r="C36" s="925"/>
      <c r="D36" s="964">
        <f t="shared" si="2"/>
        <v>0</v>
      </c>
      <c r="E36" s="999">
        <f>'Emission Factors'!$J$457*D36*0.001</f>
        <v>0</v>
      </c>
      <c r="F36" s="999">
        <f>'Emission Factors'!$K$457*D36*0.001</f>
        <v>0</v>
      </c>
      <c r="G36" s="688">
        <f>'Emission Factors'!$I$457*D36*0.001</f>
        <v>0</v>
      </c>
      <c r="H36" s="744">
        <f t="shared" si="3"/>
        <v>0</v>
      </c>
    </row>
    <row r="37" spans="1:11" x14ac:dyDescent="0.35">
      <c r="A37" s="692"/>
      <c r="B37" s="925"/>
      <c r="C37" s="925"/>
      <c r="D37" s="964">
        <f t="shared" si="2"/>
        <v>0</v>
      </c>
      <c r="E37" s="999">
        <f>'Emission Factors'!$J$457*D37*0.001</f>
        <v>0</v>
      </c>
      <c r="F37" s="999">
        <f>'Emission Factors'!$K$457*D37*0.001</f>
        <v>0</v>
      </c>
      <c r="G37" s="688">
        <f>'Emission Factors'!$I$457*D37*0.001</f>
        <v>0</v>
      </c>
      <c r="H37" s="744">
        <f t="shared" si="3"/>
        <v>0</v>
      </c>
    </row>
    <row r="38" spans="1:11" x14ac:dyDescent="0.35">
      <c r="A38" s="692"/>
      <c r="B38" s="925"/>
      <c r="C38" s="925"/>
      <c r="D38" s="964">
        <f t="shared" si="2"/>
        <v>0</v>
      </c>
      <c r="E38" s="999">
        <f>'Emission Factors'!$J$457*D38*0.001</f>
        <v>0</v>
      </c>
      <c r="F38" s="999">
        <f>'Emission Factors'!$K$457*D38*0.001</f>
        <v>0</v>
      </c>
      <c r="G38" s="688">
        <f>'Emission Factors'!$I$457*D38*0.001</f>
        <v>0</v>
      </c>
      <c r="H38" s="744">
        <f t="shared" si="3"/>
        <v>0</v>
      </c>
    </row>
    <row r="39" spans="1:11" x14ac:dyDescent="0.35">
      <c r="A39" s="692"/>
      <c r="B39" s="925"/>
      <c r="C39" s="925"/>
      <c r="D39" s="964">
        <f t="shared" si="2"/>
        <v>0</v>
      </c>
      <c r="E39" s="999">
        <f>'Emission Factors'!$J$457*D39*0.001</f>
        <v>0</v>
      </c>
      <c r="F39" s="999">
        <f>'Emission Factors'!$K$457*D39*0.001</f>
        <v>0</v>
      </c>
      <c r="G39" s="688">
        <f>'Emission Factors'!$I$457*D39*0.001</f>
        <v>0</v>
      </c>
      <c r="H39" s="744">
        <f t="shared" si="3"/>
        <v>0</v>
      </c>
    </row>
    <row r="40" spans="1:11" x14ac:dyDescent="0.35">
      <c r="A40" s="692"/>
      <c r="B40" s="925"/>
      <c r="C40" s="925"/>
      <c r="D40" s="964">
        <f t="shared" si="2"/>
        <v>0</v>
      </c>
      <c r="E40" s="999">
        <f>'Emission Factors'!$J$457*D40*0.001</f>
        <v>0</v>
      </c>
      <c r="F40" s="999">
        <f>'Emission Factors'!$K$457*D40*0.001</f>
        <v>0</v>
      </c>
      <c r="G40" s="688">
        <f>'Emission Factors'!$I$457*D40*0.001</f>
        <v>0</v>
      </c>
      <c r="H40" s="744">
        <f t="shared" si="3"/>
        <v>0</v>
      </c>
    </row>
    <row r="41" spans="1:11" x14ac:dyDescent="0.35">
      <c r="A41" s="692"/>
      <c r="B41" s="925"/>
      <c r="C41" s="925"/>
      <c r="D41" s="964">
        <f t="shared" si="2"/>
        <v>0</v>
      </c>
      <c r="E41" s="999">
        <f>'Emission Factors'!$J$457*D41*0.001</f>
        <v>0</v>
      </c>
      <c r="F41" s="999">
        <f>'Emission Factors'!$K$457*D41*0.001</f>
        <v>0</v>
      </c>
      <c r="G41" s="688">
        <f>'Emission Factors'!$I$457*D41*0.001</f>
        <v>0</v>
      </c>
      <c r="H41" s="744">
        <f t="shared" si="3"/>
        <v>0</v>
      </c>
    </row>
    <row r="42" spans="1:11" ht="16" thickBot="1" x14ac:dyDescent="0.4">
      <c r="A42" s="692"/>
      <c r="B42" s="925"/>
      <c r="C42" s="925"/>
      <c r="D42" s="964">
        <f t="shared" si="2"/>
        <v>0</v>
      </c>
      <c r="E42" s="999">
        <f>'Emission Factors'!$J$457*D42*0.001</f>
        <v>0</v>
      </c>
      <c r="F42" s="999">
        <f>'Emission Factors'!$K$457*D42*0.001</f>
        <v>0</v>
      </c>
      <c r="G42" s="688">
        <f>'Emission Factors'!$I$457*D42*0.001</f>
        <v>0</v>
      </c>
      <c r="H42" s="1001">
        <f t="shared" si="3"/>
        <v>0</v>
      </c>
    </row>
    <row r="43" spans="1:11" ht="16" thickBot="1" x14ac:dyDescent="0.4">
      <c r="A43" s="644" t="s">
        <v>843</v>
      </c>
      <c r="B43" s="652"/>
      <c r="C43" s="652"/>
      <c r="D43" s="644"/>
      <c r="E43" s="634"/>
      <c r="F43" s="634"/>
      <c r="G43" s="684" t="s">
        <v>1699</v>
      </c>
      <c r="H43" s="686">
        <f>SUM(H33:H42)</f>
        <v>0</v>
      </c>
      <c r="I43" s="634"/>
      <c r="J43" s="731"/>
    </row>
    <row r="44" spans="1:11" x14ac:dyDescent="0.35">
      <c r="A44" s="652"/>
      <c r="B44" s="652"/>
      <c r="C44" s="652"/>
      <c r="D44" s="644"/>
      <c r="E44" s="634"/>
      <c r="F44" s="634"/>
      <c r="G44" s="634"/>
      <c r="H44" s="634"/>
      <c r="I44" s="634"/>
      <c r="J44" s="731"/>
      <c r="K44" s="731"/>
    </row>
    <row r="45" spans="1:11" s="667" customFormat="1" ht="23.5" x14ac:dyDescent="0.55000000000000004">
      <c r="A45" s="1004"/>
      <c r="B45" s="1004"/>
      <c r="C45" s="1004"/>
      <c r="D45" s="1477" t="s">
        <v>330</v>
      </c>
      <c r="E45" s="1478"/>
      <c r="F45" s="851"/>
      <c r="G45" s="851"/>
      <c r="H45" s="851"/>
      <c r="I45" s="851"/>
      <c r="J45" s="836"/>
      <c r="K45" s="836"/>
    </row>
    <row r="46" spans="1:11" s="667" customFormat="1" ht="24" thickBot="1" x14ac:dyDescent="0.6">
      <c r="A46" s="1573" t="s">
        <v>844</v>
      </c>
      <c r="B46" s="1574"/>
      <c r="C46" s="1574"/>
      <c r="D46" s="1574"/>
      <c r="E46" s="1574"/>
      <c r="F46" s="1574"/>
      <c r="G46" s="1574"/>
      <c r="H46" s="1574"/>
      <c r="I46" s="1574"/>
      <c r="J46" s="1574"/>
      <c r="K46" s="1574"/>
    </row>
    <row r="47" spans="1:11" s="668" customFormat="1" ht="55.5" x14ac:dyDescent="0.45">
      <c r="A47" s="994" t="s">
        <v>836</v>
      </c>
      <c r="B47" s="994" t="s">
        <v>842</v>
      </c>
      <c r="C47" s="994" t="s">
        <v>838</v>
      </c>
      <c r="D47" s="995" t="s">
        <v>839</v>
      </c>
      <c r="E47" s="996" t="s">
        <v>1765</v>
      </c>
      <c r="F47" s="996" t="s">
        <v>1766</v>
      </c>
      <c r="G47" s="997" t="s">
        <v>1767</v>
      </c>
      <c r="H47" s="998" t="s">
        <v>580</v>
      </c>
      <c r="I47" s="807"/>
    </row>
    <row r="48" spans="1:11" x14ac:dyDescent="0.35">
      <c r="A48" s="1005"/>
      <c r="B48" s="1006"/>
      <c r="C48" s="1006"/>
      <c r="D48" s="964">
        <f>SUM(B48*0.001)*C48</f>
        <v>0</v>
      </c>
      <c r="E48" s="999">
        <f>'Emission Factors'!$F$359*$D48*0.001</f>
        <v>0</v>
      </c>
      <c r="F48" s="999">
        <f>'Emission Factors'!$G$359*$D48*0.001</f>
        <v>0</v>
      </c>
      <c r="G48" s="999">
        <f>'Emission Factors'!$E$359*$D48*0.001</f>
        <v>0</v>
      </c>
      <c r="H48" s="744">
        <f>SUM(G48,F48,E48)</f>
        <v>0</v>
      </c>
    </row>
    <row r="49" spans="1:11" x14ac:dyDescent="0.35">
      <c r="A49" s="1005"/>
      <c r="B49" s="1006"/>
      <c r="C49" s="1006"/>
      <c r="D49" s="964">
        <f t="shared" ref="D49:D58" si="4">SUM(B49*0.001)*C49</f>
        <v>0</v>
      </c>
      <c r="E49" s="999">
        <f>'Emission Factors'!$F$359*D49*0.001</f>
        <v>0</v>
      </c>
      <c r="F49" s="999">
        <f>'Emission Factors'!$G$359*$D49*0.001</f>
        <v>0</v>
      </c>
      <c r="G49" s="999">
        <f>'Emission Factors'!$E$359*$D49*0.001</f>
        <v>0</v>
      </c>
      <c r="H49" s="744">
        <f t="shared" ref="H49:H57" si="5">SUM(G49,F49,E49)</f>
        <v>0</v>
      </c>
    </row>
    <row r="50" spans="1:11" x14ac:dyDescent="0.35">
      <c r="A50" s="1005"/>
      <c r="B50" s="1006"/>
      <c r="C50" s="1006"/>
      <c r="D50" s="964">
        <f t="shared" si="4"/>
        <v>0</v>
      </c>
      <c r="E50" s="999">
        <f>'Emission Factors'!$F$359*D50*0.001</f>
        <v>0</v>
      </c>
      <c r="F50" s="999">
        <f>'Emission Factors'!$G$359*$D50*0.001</f>
        <v>0</v>
      </c>
      <c r="G50" s="999">
        <f>'Emission Factors'!$E$359*$D50*0.001</f>
        <v>0</v>
      </c>
      <c r="H50" s="744">
        <f t="shared" si="5"/>
        <v>0</v>
      </c>
    </row>
    <row r="51" spans="1:11" x14ac:dyDescent="0.35">
      <c r="A51" s="1005"/>
      <c r="B51" s="1006"/>
      <c r="C51" s="1006"/>
      <c r="D51" s="964">
        <f t="shared" si="4"/>
        <v>0</v>
      </c>
      <c r="E51" s="999">
        <f>'Emission Factors'!$F$359*D51*0.001</f>
        <v>0</v>
      </c>
      <c r="F51" s="999">
        <f>'Emission Factors'!$G$359*$D51*0.001</f>
        <v>0</v>
      </c>
      <c r="G51" s="999">
        <f>'Emission Factors'!$E$359*$D51*0.001</f>
        <v>0</v>
      </c>
      <c r="H51" s="744">
        <f t="shared" si="5"/>
        <v>0</v>
      </c>
    </row>
    <row r="52" spans="1:11" x14ac:dyDescent="0.35">
      <c r="A52" s="1005"/>
      <c r="B52" s="1006"/>
      <c r="C52" s="1006"/>
      <c r="D52" s="964">
        <f t="shared" si="4"/>
        <v>0</v>
      </c>
      <c r="E52" s="999">
        <f>'Emission Factors'!$F$359*D52*0.001</f>
        <v>0</v>
      </c>
      <c r="F52" s="999">
        <f>'Emission Factors'!$G$359*$D52*0.001</f>
        <v>0</v>
      </c>
      <c r="G52" s="999">
        <f>'Emission Factors'!$E$359*$D52*0.001</f>
        <v>0</v>
      </c>
      <c r="H52" s="744">
        <f t="shared" si="5"/>
        <v>0</v>
      </c>
    </row>
    <row r="53" spans="1:11" x14ac:dyDescent="0.35">
      <c r="A53" s="1005"/>
      <c r="B53" s="1006"/>
      <c r="C53" s="1006"/>
      <c r="D53" s="964">
        <f t="shared" si="4"/>
        <v>0</v>
      </c>
      <c r="E53" s="999">
        <f>'Emission Factors'!$F$359*D53*0.001</f>
        <v>0</v>
      </c>
      <c r="F53" s="999">
        <f>'Emission Factors'!$G$359*$D53*0.001</f>
        <v>0</v>
      </c>
      <c r="G53" s="999">
        <f>'Emission Factors'!$E$359*$D53*0.001</f>
        <v>0</v>
      </c>
      <c r="H53" s="744">
        <f t="shared" si="5"/>
        <v>0</v>
      </c>
    </row>
    <row r="54" spans="1:11" x14ac:dyDescent="0.35">
      <c r="A54" s="1005"/>
      <c r="B54" s="1006"/>
      <c r="C54" s="1006"/>
      <c r="D54" s="964">
        <f t="shared" si="4"/>
        <v>0</v>
      </c>
      <c r="E54" s="999">
        <f>'Emission Factors'!$F$359*D54*0.001</f>
        <v>0</v>
      </c>
      <c r="F54" s="999">
        <f>'Emission Factors'!$G$359*$D54*0.001</f>
        <v>0</v>
      </c>
      <c r="G54" s="999">
        <f>'Emission Factors'!$E$359*$D54*0.001</f>
        <v>0</v>
      </c>
      <c r="H54" s="744">
        <f t="shared" si="5"/>
        <v>0</v>
      </c>
    </row>
    <row r="55" spans="1:11" x14ac:dyDescent="0.35">
      <c r="A55" s="1005"/>
      <c r="B55" s="1006"/>
      <c r="C55" s="1006"/>
      <c r="D55" s="964">
        <f t="shared" si="4"/>
        <v>0</v>
      </c>
      <c r="E55" s="999">
        <f>'Emission Factors'!$F$359*D55*0.001</f>
        <v>0</v>
      </c>
      <c r="F55" s="999">
        <f>'Emission Factors'!$G$359*$D55*0.001</f>
        <v>0</v>
      </c>
      <c r="G55" s="999">
        <f>'Emission Factors'!$E$359*$D55*0.001</f>
        <v>0</v>
      </c>
      <c r="H55" s="744">
        <f t="shared" si="5"/>
        <v>0</v>
      </c>
    </row>
    <row r="56" spans="1:11" x14ac:dyDescent="0.35">
      <c r="A56" s="1005"/>
      <c r="B56" s="1006"/>
      <c r="C56" s="1006"/>
      <c r="D56" s="964">
        <f t="shared" si="4"/>
        <v>0</v>
      </c>
      <c r="E56" s="999">
        <f>'Emission Factors'!$F$359*D56*0.001</f>
        <v>0</v>
      </c>
      <c r="F56" s="999">
        <f>'Emission Factors'!$G$359*$D56*0.001</f>
        <v>0</v>
      </c>
      <c r="G56" s="999">
        <f>'Emission Factors'!$E$359*$D56*0.001</f>
        <v>0</v>
      </c>
      <c r="H56" s="744">
        <f t="shared" si="5"/>
        <v>0</v>
      </c>
    </row>
    <row r="57" spans="1:11" x14ac:dyDescent="0.35">
      <c r="A57" s="692"/>
      <c r="B57" s="925"/>
      <c r="C57" s="925"/>
      <c r="D57" s="964">
        <f t="shared" si="4"/>
        <v>0</v>
      </c>
      <c r="E57" s="999">
        <f>'Emission Factors'!$F$359*D57*0.001</f>
        <v>0</v>
      </c>
      <c r="F57" s="999">
        <f>'Emission Factors'!$G$359*$D57*0.001</f>
        <v>0</v>
      </c>
      <c r="G57" s="999">
        <f>'Emission Factors'!$E$359*$D57*0.001</f>
        <v>0</v>
      </c>
      <c r="H57" s="1001">
        <f t="shared" si="5"/>
        <v>0</v>
      </c>
    </row>
    <row r="58" spans="1:11" ht="16" thickBot="1" x14ac:dyDescent="0.4">
      <c r="A58" s="692"/>
      <c r="B58" s="925"/>
      <c r="C58" s="925"/>
      <c r="D58" s="964">
        <f t="shared" si="4"/>
        <v>0</v>
      </c>
      <c r="E58" s="999">
        <f>'Emission Factors'!$F$359*D58*0.001</f>
        <v>0</v>
      </c>
      <c r="F58" s="999">
        <f>'Emission Factors'!$G$359*$D58*0.001</f>
        <v>0</v>
      </c>
      <c r="G58" s="999">
        <f>'Emission Factors'!$E$359*$D58*0.001</f>
        <v>0</v>
      </c>
      <c r="H58" s="744">
        <f>SUM(G58,F58,E58)</f>
        <v>0</v>
      </c>
    </row>
    <row r="59" spans="1:11" ht="16" thickBot="1" x14ac:dyDescent="0.4">
      <c r="A59" s="644" t="s">
        <v>845</v>
      </c>
      <c r="B59" s="652"/>
      <c r="C59" s="652"/>
      <c r="D59" s="644"/>
      <c r="E59" s="634"/>
      <c r="F59" s="634"/>
      <c r="G59" s="684" t="s">
        <v>1699</v>
      </c>
      <c r="H59" s="686">
        <f>SUM(H48:H58)</f>
        <v>0</v>
      </c>
      <c r="I59" s="634"/>
      <c r="J59" s="731"/>
    </row>
    <row r="60" spans="1:11" x14ac:dyDescent="0.35">
      <c r="A60" s="652"/>
      <c r="B60" s="652"/>
      <c r="C60" s="652"/>
      <c r="D60" s="644"/>
      <c r="E60" s="634"/>
      <c r="F60" s="634"/>
      <c r="G60" s="634"/>
      <c r="H60" s="634"/>
      <c r="I60" s="634"/>
      <c r="J60" s="731"/>
      <c r="K60" s="731"/>
    </row>
    <row r="61" spans="1:11" s="667" customFormat="1" ht="23.5" x14ac:dyDescent="0.55000000000000004">
      <c r="A61" s="1004"/>
      <c r="B61" s="1004"/>
      <c r="C61" s="1004"/>
      <c r="D61" s="1477" t="s">
        <v>330</v>
      </c>
      <c r="E61" s="1478"/>
      <c r="F61" s="851"/>
      <c r="G61" s="851"/>
      <c r="H61" s="851"/>
      <c r="I61" s="851"/>
      <c r="J61" s="836"/>
      <c r="K61" s="836"/>
    </row>
    <row r="62" spans="1:11" s="667" customFormat="1" ht="23.5" customHeight="1" thickBot="1" x14ac:dyDescent="0.6">
      <c r="A62" s="1573" t="s">
        <v>846</v>
      </c>
      <c r="B62" s="1574"/>
      <c r="C62" s="1574"/>
      <c r="D62" s="1574"/>
      <c r="E62" s="1574"/>
      <c r="F62" s="1574"/>
      <c r="G62" s="1574"/>
      <c r="H62" s="1574"/>
      <c r="I62" s="1574"/>
      <c r="J62" s="1574"/>
      <c r="K62" s="1574"/>
    </row>
    <row r="63" spans="1:11" s="668" customFormat="1" ht="55.5" x14ac:dyDescent="0.45">
      <c r="A63" s="994" t="s">
        <v>836</v>
      </c>
      <c r="B63" s="994" t="s">
        <v>842</v>
      </c>
      <c r="C63" s="994" t="s">
        <v>838</v>
      </c>
      <c r="D63" s="995" t="s">
        <v>839</v>
      </c>
      <c r="E63" s="996" t="s">
        <v>1765</v>
      </c>
      <c r="F63" s="996" t="s">
        <v>1766</v>
      </c>
      <c r="G63" s="997" t="s">
        <v>1767</v>
      </c>
      <c r="H63" s="998" t="s">
        <v>580</v>
      </c>
      <c r="I63" s="807"/>
    </row>
    <row r="64" spans="1:11" x14ac:dyDescent="0.35">
      <c r="A64" s="692"/>
      <c r="B64" s="925"/>
      <c r="C64" s="925"/>
      <c r="D64" s="964">
        <f>SUM(B64*0.001)*C64</f>
        <v>0</v>
      </c>
      <c r="E64" s="999">
        <f>'Emission Factors'!$F$464*$D64*0.001</f>
        <v>0</v>
      </c>
      <c r="F64" s="999">
        <f>'Emission Factors'!$G$464*$D64*0.001</f>
        <v>0</v>
      </c>
      <c r="G64" s="999">
        <f>'Emission Factors'!$E$464*$D64*0.001</f>
        <v>0</v>
      </c>
      <c r="H64" s="744">
        <f>SUM(G64,F64,E64)</f>
        <v>0</v>
      </c>
    </row>
    <row r="65" spans="1:17" x14ac:dyDescent="0.35">
      <c r="A65" s="692"/>
      <c r="B65" s="925"/>
      <c r="C65" s="925"/>
      <c r="D65" s="964">
        <f t="shared" ref="D65:D73" si="6">SUM(B65*0.001)*C65</f>
        <v>0</v>
      </c>
      <c r="E65" s="999">
        <f>'Emission Factors'!$F$464*$D65*0.001</f>
        <v>0</v>
      </c>
      <c r="F65" s="999">
        <f>'Emission Factors'!$G$464*$D65*0.001</f>
        <v>0</v>
      </c>
      <c r="G65" s="999">
        <f>'Emission Factors'!$E$464*$D65*0.001</f>
        <v>0</v>
      </c>
      <c r="H65" s="744">
        <f t="shared" ref="H65:H73" si="7">SUM(G65,F65,E65)</f>
        <v>0</v>
      </c>
    </row>
    <row r="66" spans="1:17" x14ac:dyDescent="0.35">
      <c r="A66" s="692"/>
      <c r="B66" s="925"/>
      <c r="C66" s="925"/>
      <c r="D66" s="964">
        <f t="shared" si="6"/>
        <v>0</v>
      </c>
      <c r="E66" s="999">
        <f>'Emission Factors'!$F$464*$D66*0.001</f>
        <v>0</v>
      </c>
      <c r="F66" s="999">
        <f>'Emission Factors'!$G$464*$D66*0.001</f>
        <v>0</v>
      </c>
      <c r="G66" s="999">
        <f>'Emission Factors'!$E$464*$D66*0.001</f>
        <v>0</v>
      </c>
      <c r="H66" s="744">
        <f t="shared" si="7"/>
        <v>0</v>
      </c>
    </row>
    <row r="67" spans="1:17" x14ac:dyDescent="0.35">
      <c r="A67" s="692"/>
      <c r="B67" s="925"/>
      <c r="C67" s="925"/>
      <c r="D67" s="964">
        <f t="shared" si="6"/>
        <v>0</v>
      </c>
      <c r="E67" s="999">
        <f>'Emission Factors'!$F$464*$D67*0.001</f>
        <v>0</v>
      </c>
      <c r="F67" s="999">
        <f>'Emission Factors'!$G$464*$D67*0.001</f>
        <v>0</v>
      </c>
      <c r="G67" s="999">
        <f>'Emission Factors'!$E$464*$D67*0.001</f>
        <v>0</v>
      </c>
      <c r="H67" s="744">
        <f t="shared" si="7"/>
        <v>0</v>
      </c>
    </row>
    <row r="68" spans="1:17" x14ac:dyDescent="0.35">
      <c r="A68" s="692"/>
      <c r="B68" s="925"/>
      <c r="C68" s="925"/>
      <c r="D68" s="964">
        <f t="shared" si="6"/>
        <v>0</v>
      </c>
      <c r="E68" s="999">
        <f>'Emission Factors'!$F$464*$D68*0.001</f>
        <v>0</v>
      </c>
      <c r="F68" s="999">
        <f>'Emission Factors'!$G$464*$D68*0.001</f>
        <v>0</v>
      </c>
      <c r="G68" s="999">
        <f>'Emission Factors'!$E$464*$D68*0.001</f>
        <v>0</v>
      </c>
      <c r="H68" s="744">
        <f t="shared" si="7"/>
        <v>0</v>
      </c>
    </row>
    <row r="69" spans="1:17" x14ac:dyDescent="0.35">
      <c r="A69" s="692"/>
      <c r="B69" s="925"/>
      <c r="C69" s="925"/>
      <c r="D69" s="964">
        <f t="shared" si="6"/>
        <v>0</v>
      </c>
      <c r="E69" s="999">
        <f>'Emission Factors'!$F$464*$D69*0.001</f>
        <v>0</v>
      </c>
      <c r="F69" s="999">
        <f>'Emission Factors'!$G$464*$D69*0.001</f>
        <v>0</v>
      </c>
      <c r="G69" s="999">
        <f>'Emission Factors'!$E$464*$D69*0.001</f>
        <v>0</v>
      </c>
      <c r="H69" s="744">
        <f t="shared" si="7"/>
        <v>0</v>
      </c>
    </row>
    <row r="70" spans="1:17" x14ac:dyDescent="0.35">
      <c r="A70" s="692"/>
      <c r="B70" s="925"/>
      <c r="C70" s="925"/>
      <c r="D70" s="964">
        <f t="shared" si="6"/>
        <v>0</v>
      </c>
      <c r="E70" s="999">
        <f>'Emission Factors'!$F$464*$D70*0.001</f>
        <v>0</v>
      </c>
      <c r="F70" s="999">
        <f>'Emission Factors'!$G$464*$D70*0.001</f>
        <v>0</v>
      </c>
      <c r="G70" s="999">
        <f>'Emission Factors'!$E$464*$D70*0.001</f>
        <v>0</v>
      </c>
      <c r="H70" s="744">
        <f t="shared" si="7"/>
        <v>0</v>
      </c>
    </row>
    <row r="71" spans="1:17" x14ac:dyDescent="0.35">
      <c r="A71" s="692"/>
      <c r="B71" s="925"/>
      <c r="C71" s="925"/>
      <c r="D71" s="964">
        <f t="shared" si="6"/>
        <v>0</v>
      </c>
      <c r="E71" s="999">
        <f>'Emission Factors'!$F$464*$D71*0.001</f>
        <v>0</v>
      </c>
      <c r="F71" s="999">
        <f>'Emission Factors'!$G$464*$D71*0.001</f>
        <v>0</v>
      </c>
      <c r="G71" s="999">
        <f>'Emission Factors'!$E$464*$D71*0.001</f>
        <v>0</v>
      </c>
      <c r="H71" s="744">
        <f t="shared" si="7"/>
        <v>0</v>
      </c>
    </row>
    <row r="72" spans="1:17" x14ac:dyDescent="0.35">
      <c r="A72" s="692"/>
      <c r="B72" s="925"/>
      <c r="C72" s="925"/>
      <c r="D72" s="964">
        <f t="shared" si="6"/>
        <v>0</v>
      </c>
      <c r="E72" s="999">
        <f>'Emission Factors'!$F$464*$D72*0.001</f>
        <v>0</v>
      </c>
      <c r="F72" s="999">
        <f>'Emission Factors'!$G$464*$D72*0.001</f>
        <v>0</v>
      </c>
      <c r="G72" s="999">
        <f>'Emission Factors'!$E$464*$D72*0.001</f>
        <v>0</v>
      </c>
      <c r="H72" s="744">
        <f t="shared" si="7"/>
        <v>0</v>
      </c>
    </row>
    <row r="73" spans="1:17" ht="16" thickBot="1" x14ac:dyDescent="0.4">
      <c r="A73" s="692"/>
      <c r="B73" s="925"/>
      <c r="C73" s="925"/>
      <c r="D73" s="964">
        <f t="shared" si="6"/>
        <v>0</v>
      </c>
      <c r="E73" s="999">
        <f>'Emission Factors'!$F$464*$D73*0.001</f>
        <v>0</v>
      </c>
      <c r="F73" s="999">
        <f>'Emission Factors'!$G$464*$D73*0.001</f>
        <v>0</v>
      </c>
      <c r="G73" s="999">
        <f>'Emission Factors'!$E$464*$D73*0.001</f>
        <v>0</v>
      </c>
      <c r="H73" s="1001">
        <f t="shared" si="7"/>
        <v>0</v>
      </c>
    </row>
    <row r="74" spans="1:17" ht="19" thickBot="1" x14ac:dyDescent="0.4">
      <c r="A74" s="1007" t="s">
        <v>847</v>
      </c>
      <c r="B74" s="652"/>
      <c r="C74" s="652"/>
      <c r="D74" s="644"/>
      <c r="E74" s="634"/>
      <c r="F74" s="634"/>
      <c r="G74" s="684" t="s">
        <v>1699</v>
      </c>
      <c r="H74" s="686">
        <f>SUM(H64:H73)</f>
        <v>0</v>
      </c>
      <c r="I74" s="634"/>
      <c r="J74" s="731"/>
      <c r="K74" s="731"/>
    </row>
    <row r="75" spans="1:17" ht="18.5" x14ac:dyDescent="0.35">
      <c r="A75" s="1007"/>
      <c r="B75" s="652"/>
      <c r="C75" s="652"/>
      <c r="D75" s="644"/>
      <c r="E75" s="634"/>
      <c r="F75" s="634"/>
      <c r="G75" s="634"/>
      <c r="H75" s="634"/>
      <c r="I75" s="634"/>
      <c r="J75" s="731"/>
      <c r="K75" s="731"/>
    </row>
    <row r="76" spans="1:17" s="667" customFormat="1" ht="23.5" x14ac:dyDescent="0.55000000000000004">
      <c r="A76" s="1578" t="s">
        <v>848</v>
      </c>
      <c r="B76" s="1579"/>
      <c r="C76" s="1579"/>
      <c r="D76" s="1579"/>
      <c r="E76" s="1579"/>
      <c r="F76" s="1579"/>
      <c r="G76" s="1579"/>
      <c r="H76" s="1579"/>
      <c r="I76" s="1579"/>
      <c r="J76" s="1579"/>
      <c r="K76" s="1579"/>
      <c r="L76" s="1579"/>
      <c r="M76" s="1579"/>
      <c r="N76" s="1579"/>
      <c r="O76" s="923"/>
      <c r="P76" s="923"/>
      <c r="Q76" s="923"/>
    </row>
    <row r="77" spans="1:17" x14ac:dyDescent="0.35">
      <c r="A77" s="917"/>
      <c r="B77" s="918"/>
      <c r="C77" s="918"/>
      <c r="D77" s="918"/>
      <c r="E77" s="918"/>
      <c r="F77" s="1008"/>
      <c r="G77" s="1008"/>
      <c r="H77" s="1008"/>
      <c r="I77" s="1008"/>
      <c r="J77" s="919"/>
      <c r="K77" s="919"/>
      <c r="L77" s="919"/>
      <c r="M77" s="919"/>
      <c r="N77" s="919"/>
      <c r="O77" s="919"/>
      <c r="P77" s="919"/>
      <c r="Q77" s="919"/>
    </row>
    <row r="78" spans="1:17" s="667" customFormat="1" ht="23.5" x14ac:dyDescent="0.55000000000000004">
      <c r="A78" s="1004"/>
      <c r="B78" s="1004"/>
      <c r="C78" s="1004"/>
      <c r="D78" s="1477" t="s">
        <v>330</v>
      </c>
      <c r="E78" s="1478"/>
      <c r="F78" s="851"/>
      <c r="G78" s="851"/>
      <c r="H78" s="851"/>
      <c r="I78" s="851"/>
      <c r="J78" s="836"/>
      <c r="K78" s="836"/>
    </row>
    <row r="79" spans="1:17" s="667" customFormat="1" ht="24" customHeight="1" thickBot="1" x14ac:dyDescent="0.6">
      <c r="A79" s="1573" t="s">
        <v>1769</v>
      </c>
      <c r="B79" s="1574"/>
      <c r="C79" s="1574"/>
      <c r="D79" s="1574"/>
      <c r="E79" s="1574"/>
      <c r="F79" s="1574"/>
      <c r="G79" s="1574"/>
      <c r="H79" s="1574"/>
      <c r="I79" s="1574"/>
      <c r="J79" s="1574"/>
      <c r="K79" s="1574"/>
    </row>
    <row r="80" spans="1:17" s="807" customFormat="1" ht="54.75" customHeight="1" x14ac:dyDescent="0.45">
      <c r="A80" s="994" t="s">
        <v>836</v>
      </c>
      <c r="B80" s="994" t="s">
        <v>842</v>
      </c>
      <c r="C80" s="994" t="s">
        <v>838</v>
      </c>
      <c r="D80" s="995" t="s">
        <v>839</v>
      </c>
      <c r="E80" s="996" t="s">
        <v>1765</v>
      </c>
      <c r="F80" s="996" t="s">
        <v>1766</v>
      </c>
      <c r="G80" s="997" t="s">
        <v>1767</v>
      </c>
      <c r="H80" s="998" t="s">
        <v>580</v>
      </c>
    </row>
    <row r="81" spans="1:11" x14ac:dyDescent="0.35">
      <c r="A81" s="1005"/>
      <c r="B81" s="1006"/>
      <c r="C81" s="1006"/>
      <c r="D81" s="964">
        <f>SUM(B81*0.001)*C81</f>
        <v>0</v>
      </c>
      <c r="E81" s="999">
        <f>'Emission Factors'!$F$482*$D81*0.001</f>
        <v>0</v>
      </c>
      <c r="F81" s="999">
        <f>'Emission Factors'!$G$482*$D81*0.001</f>
        <v>0</v>
      </c>
      <c r="G81" s="999">
        <f>'Emission Factors'!$E$482*$D81*0.001</f>
        <v>0</v>
      </c>
      <c r="H81" s="744">
        <f>SUM(G81,F81,E81)</f>
        <v>0</v>
      </c>
    </row>
    <row r="82" spans="1:11" x14ac:dyDescent="0.35">
      <c r="A82" s="692"/>
      <c r="B82" s="925"/>
      <c r="C82" s="925"/>
      <c r="D82" s="964">
        <f t="shared" ref="D82:D90" si="8">SUM(B82*0.001)*C82</f>
        <v>0</v>
      </c>
      <c r="E82" s="999">
        <f>'Emission Factors'!$F$482*$D82*0.001</f>
        <v>0</v>
      </c>
      <c r="F82" s="999">
        <f>'Emission Factors'!$G$482*$D82*0.001</f>
        <v>0</v>
      </c>
      <c r="G82" s="999">
        <f>'Emission Factors'!$E$482*$D82*0.001</f>
        <v>0</v>
      </c>
      <c r="H82" s="744">
        <f t="shared" ref="H82:H89" si="9">SUM(G82,F82,E82)</f>
        <v>0</v>
      </c>
    </row>
    <row r="83" spans="1:11" x14ac:dyDescent="0.35">
      <c r="A83" s="692"/>
      <c r="B83" s="925"/>
      <c r="C83" s="925"/>
      <c r="D83" s="964">
        <f t="shared" si="8"/>
        <v>0</v>
      </c>
      <c r="E83" s="999">
        <f>'Emission Factors'!$F$482*$D83*0.001</f>
        <v>0</v>
      </c>
      <c r="F83" s="999">
        <f>'Emission Factors'!$G$482*$D83*0.001</f>
        <v>0</v>
      </c>
      <c r="G83" s="999">
        <f>'Emission Factors'!$E$482*$D83*0.001</f>
        <v>0</v>
      </c>
      <c r="H83" s="744">
        <f t="shared" si="9"/>
        <v>0</v>
      </c>
    </row>
    <row r="84" spans="1:11" x14ac:dyDescent="0.35">
      <c r="A84" s="692"/>
      <c r="B84" s="925"/>
      <c r="C84" s="925"/>
      <c r="D84" s="964">
        <f t="shared" si="8"/>
        <v>0</v>
      </c>
      <c r="E84" s="999">
        <f>'Emission Factors'!$F$482*$D84*0.001</f>
        <v>0</v>
      </c>
      <c r="F84" s="999">
        <f>'Emission Factors'!$G$482*$D84*0.001</f>
        <v>0</v>
      </c>
      <c r="G84" s="999">
        <f>'Emission Factors'!$E$482*$D84*0.001</f>
        <v>0</v>
      </c>
      <c r="H84" s="744">
        <f t="shared" si="9"/>
        <v>0</v>
      </c>
    </row>
    <row r="85" spans="1:11" x14ac:dyDescent="0.35">
      <c r="A85" s="692"/>
      <c r="B85" s="925"/>
      <c r="C85" s="925"/>
      <c r="D85" s="964">
        <f t="shared" si="8"/>
        <v>0</v>
      </c>
      <c r="E85" s="999">
        <f>'Emission Factors'!$F$482*$D85*0.001</f>
        <v>0</v>
      </c>
      <c r="F85" s="999">
        <f>'Emission Factors'!$G$482*$D85*0.001</f>
        <v>0</v>
      </c>
      <c r="G85" s="999">
        <f>'Emission Factors'!$E$482*$D85*0.001</f>
        <v>0</v>
      </c>
      <c r="H85" s="744">
        <f t="shared" si="9"/>
        <v>0</v>
      </c>
    </row>
    <row r="86" spans="1:11" x14ac:dyDescent="0.35">
      <c r="A86" s="692"/>
      <c r="B86" s="925"/>
      <c r="C86" s="925"/>
      <c r="D86" s="964">
        <f t="shared" si="8"/>
        <v>0</v>
      </c>
      <c r="E86" s="999">
        <f>'Emission Factors'!$F$482*$D86*0.001</f>
        <v>0</v>
      </c>
      <c r="F86" s="999">
        <f>'Emission Factors'!$G$482*$D86*0.001</f>
        <v>0</v>
      </c>
      <c r="G86" s="999">
        <f>'Emission Factors'!$E$482*$D86*0.001</f>
        <v>0</v>
      </c>
      <c r="H86" s="744">
        <f t="shared" si="9"/>
        <v>0</v>
      </c>
    </row>
    <row r="87" spans="1:11" x14ac:dyDescent="0.35">
      <c r="A87" s="692"/>
      <c r="B87" s="925"/>
      <c r="C87" s="925"/>
      <c r="D87" s="964">
        <f t="shared" si="8"/>
        <v>0</v>
      </c>
      <c r="E87" s="999">
        <f>'Emission Factors'!$F$482*$D87*0.001</f>
        <v>0</v>
      </c>
      <c r="F87" s="999">
        <f>'Emission Factors'!$G$482*$D87*0.001</f>
        <v>0</v>
      </c>
      <c r="G87" s="999">
        <f>'Emission Factors'!$E$482*$D87*0.001</f>
        <v>0</v>
      </c>
      <c r="H87" s="744">
        <f t="shared" si="9"/>
        <v>0</v>
      </c>
    </row>
    <row r="88" spans="1:11" x14ac:dyDescent="0.35">
      <c r="A88" s="692"/>
      <c r="B88" s="925"/>
      <c r="C88" s="925"/>
      <c r="D88" s="964">
        <f t="shared" si="8"/>
        <v>0</v>
      </c>
      <c r="E88" s="999">
        <f>'Emission Factors'!$F$482*$D88*0.001</f>
        <v>0</v>
      </c>
      <c r="F88" s="999">
        <f>'Emission Factors'!$G$482*$D88*0.001</f>
        <v>0</v>
      </c>
      <c r="G88" s="999">
        <f>'Emission Factors'!$E$482*$D88*0.001</f>
        <v>0</v>
      </c>
      <c r="H88" s="744">
        <f t="shared" si="9"/>
        <v>0</v>
      </c>
    </row>
    <row r="89" spans="1:11" x14ac:dyDescent="0.35">
      <c r="A89" s="692"/>
      <c r="B89" s="925"/>
      <c r="C89" s="925"/>
      <c r="D89" s="964">
        <f t="shared" si="8"/>
        <v>0</v>
      </c>
      <c r="E89" s="999">
        <f>'Emission Factors'!$F$482*$D89*0.001</f>
        <v>0</v>
      </c>
      <c r="F89" s="999">
        <f>'Emission Factors'!$G$482*$D89*0.001</f>
        <v>0</v>
      </c>
      <c r="G89" s="999">
        <f>'Emission Factors'!$E$482*$D89*0.001</f>
        <v>0</v>
      </c>
      <c r="H89" s="744">
        <f t="shared" si="9"/>
        <v>0</v>
      </c>
    </row>
    <row r="90" spans="1:11" ht="16" thickBot="1" x14ac:dyDescent="0.4">
      <c r="A90" s="692"/>
      <c r="B90" s="925"/>
      <c r="C90" s="925"/>
      <c r="D90" s="964">
        <f t="shared" si="8"/>
        <v>0</v>
      </c>
      <c r="E90" s="999">
        <f>'Emission Factors'!$F$482*$D90*0.001</f>
        <v>0</v>
      </c>
      <c r="F90" s="999">
        <f>'Emission Factors'!$G$482*$D90*0.001</f>
        <v>0</v>
      </c>
      <c r="G90" s="999">
        <f>'Emission Factors'!$E$482*$D90*0.001</f>
        <v>0</v>
      </c>
      <c r="H90" s="1001">
        <f>SUM(G90,F90,E90)</f>
        <v>0</v>
      </c>
    </row>
    <row r="91" spans="1:11" ht="15" customHeight="1" thickBot="1" x14ac:dyDescent="0.4">
      <c r="A91" s="1002"/>
      <c r="B91" s="1002"/>
      <c r="C91" s="1002"/>
      <c r="E91" s="634"/>
      <c r="F91" s="634"/>
      <c r="G91" s="684" t="s">
        <v>1699</v>
      </c>
      <c r="H91" s="686">
        <f>SUM(H81:H90)</f>
        <v>0</v>
      </c>
      <c r="I91" s="634"/>
      <c r="J91" s="731"/>
      <c r="K91" s="731"/>
    </row>
    <row r="92" spans="1:11" s="667" customFormat="1" ht="23.5" x14ac:dyDescent="0.55000000000000004">
      <c r="A92" s="1003"/>
      <c r="B92" s="1003"/>
      <c r="C92" s="1003"/>
      <c r="D92" s="1477" t="s">
        <v>330</v>
      </c>
      <c r="E92" s="1478"/>
      <c r="F92" s="851"/>
      <c r="G92" s="851"/>
      <c r="H92" s="851"/>
      <c r="I92" s="851"/>
      <c r="J92" s="836"/>
      <c r="K92" s="836"/>
    </row>
    <row r="93" spans="1:11" s="667" customFormat="1" ht="24" thickBot="1" x14ac:dyDescent="0.6">
      <c r="A93" s="1573" t="s">
        <v>849</v>
      </c>
      <c r="B93" s="1574"/>
      <c r="C93" s="1574"/>
      <c r="D93" s="1574"/>
      <c r="E93" s="1574"/>
      <c r="F93" s="1574"/>
      <c r="G93" s="1574"/>
      <c r="H93" s="1574"/>
      <c r="I93" s="1574"/>
      <c r="J93" s="1574"/>
      <c r="K93" s="1574"/>
    </row>
    <row r="94" spans="1:11" s="668" customFormat="1" ht="52.5" customHeight="1" x14ac:dyDescent="0.45">
      <c r="A94" s="994" t="s">
        <v>836</v>
      </c>
      <c r="B94" s="994" t="s">
        <v>842</v>
      </c>
      <c r="C94" s="994" t="s">
        <v>838</v>
      </c>
      <c r="D94" s="995" t="s">
        <v>839</v>
      </c>
      <c r="E94" s="996" t="s">
        <v>1765</v>
      </c>
      <c r="F94" s="996" t="s">
        <v>1766</v>
      </c>
      <c r="G94" s="997" t="s">
        <v>1767</v>
      </c>
      <c r="H94" s="998" t="s">
        <v>580</v>
      </c>
      <c r="I94" s="807"/>
    </row>
    <row r="95" spans="1:11" x14ac:dyDescent="0.35">
      <c r="A95" s="692"/>
      <c r="B95" s="925"/>
      <c r="C95" s="925"/>
      <c r="D95" s="964">
        <f>SUM(B95*0.001)*C95</f>
        <v>0</v>
      </c>
      <c r="E95" s="999">
        <f>'Emission Factors'!$F$459*$D95*0.001</f>
        <v>0</v>
      </c>
      <c r="F95" s="999">
        <f>'Emission Factors'!$G$459*$D95*0.001</f>
        <v>0</v>
      </c>
      <c r="G95" s="999">
        <f>'Emission Factors'!$E$459*$D95*0.001</f>
        <v>0</v>
      </c>
      <c r="H95" s="744">
        <f>SUM(G95,F95,E95)</f>
        <v>0</v>
      </c>
    </row>
    <row r="96" spans="1:11" x14ac:dyDescent="0.35">
      <c r="A96" s="692"/>
      <c r="B96" s="925"/>
      <c r="C96" s="925"/>
      <c r="D96" s="964">
        <f t="shared" ref="D96:D103" si="10">SUM(B96*0.001)*C96</f>
        <v>0</v>
      </c>
      <c r="E96" s="999">
        <f>'Emission Factors'!$F$459*$D96*0.001</f>
        <v>0</v>
      </c>
      <c r="F96" s="999">
        <f>'Emission Factors'!$G$459*$D96*0.001</f>
        <v>0</v>
      </c>
      <c r="G96" s="999">
        <f>'Emission Factors'!$E$459*$D96*0.001</f>
        <v>0</v>
      </c>
      <c r="H96" s="744">
        <f t="shared" ref="H96:H103" si="11">SUM(G96,F96,E96)</f>
        <v>0</v>
      </c>
    </row>
    <row r="97" spans="1:19" x14ac:dyDescent="0.35">
      <c r="A97" s="692"/>
      <c r="B97" s="925"/>
      <c r="C97" s="925"/>
      <c r="D97" s="964">
        <f t="shared" si="10"/>
        <v>0</v>
      </c>
      <c r="E97" s="999">
        <f>'Emission Factors'!$F$459*$D97*0.001</f>
        <v>0</v>
      </c>
      <c r="F97" s="999">
        <f>'Emission Factors'!$G$459*$D97*0.001</f>
        <v>0</v>
      </c>
      <c r="G97" s="999">
        <f>'Emission Factors'!$E$459*$D97*0.001</f>
        <v>0</v>
      </c>
      <c r="H97" s="744">
        <f t="shared" si="11"/>
        <v>0</v>
      </c>
    </row>
    <row r="98" spans="1:19" x14ac:dyDescent="0.35">
      <c r="A98" s="692"/>
      <c r="B98" s="925"/>
      <c r="C98" s="925"/>
      <c r="D98" s="964">
        <f t="shared" si="10"/>
        <v>0</v>
      </c>
      <c r="E98" s="999">
        <f>'Emission Factors'!$F$459*$D98*0.001</f>
        <v>0</v>
      </c>
      <c r="F98" s="999">
        <f>'Emission Factors'!$G$459*$D98*0.001</f>
        <v>0</v>
      </c>
      <c r="G98" s="999">
        <f>'Emission Factors'!$E$459*$D98*0.001</f>
        <v>0</v>
      </c>
      <c r="H98" s="744">
        <f t="shared" si="11"/>
        <v>0</v>
      </c>
    </row>
    <row r="99" spans="1:19" x14ac:dyDescent="0.35">
      <c r="A99" s="692"/>
      <c r="B99" s="925"/>
      <c r="C99" s="925"/>
      <c r="D99" s="964">
        <f t="shared" si="10"/>
        <v>0</v>
      </c>
      <c r="E99" s="999">
        <f>'Emission Factors'!$F$459*$D99*0.001</f>
        <v>0</v>
      </c>
      <c r="F99" s="999">
        <f>'Emission Factors'!$G$459*$D99*0.001</f>
        <v>0</v>
      </c>
      <c r="G99" s="999">
        <f>'Emission Factors'!$E$459*$D99*0.001</f>
        <v>0</v>
      </c>
      <c r="H99" s="744">
        <f t="shared" si="11"/>
        <v>0</v>
      </c>
    </row>
    <row r="100" spans="1:19" x14ac:dyDescent="0.35">
      <c r="A100" s="692"/>
      <c r="B100" s="925"/>
      <c r="C100" s="925"/>
      <c r="D100" s="964">
        <f t="shared" si="10"/>
        <v>0</v>
      </c>
      <c r="E100" s="999">
        <f>'Emission Factors'!$F$459*$D100*0.001</f>
        <v>0</v>
      </c>
      <c r="F100" s="999">
        <f>'Emission Factors'!$G$459*$D100*0.001</f>
        <v>0</v>
      </c>
      <c r="G100" s="999">
        <f>'Emission Factors'!$E$459*$D100*0.001</f>
        <v>0</v>
      </c>
      <c r="H100" s="744">
        <f t="shared" si="11"/>
        <v>0</v>
      </c>
    </row>
    <row r="101" spans="1:19" x14ac:dyDescent="0.35">
      <c r="A101" s="692"/>
      <c r="B101" s="925"/>
      <c r="C101" s="925"/>
      <c r="D101" s="964">
        <f t="shared" si="10"/>
        <v>0</v>
      </c>
      <c r="E101" s="999">
        <f>'Emission Factors'!$F$459*$D101*0.001</f>
        <v>0</v>
      </c>
      <c r="F101" s="999">
        <f>'Emission Factors'!$G$459*$D101*0.001</f>
        <v>0</v>
      </c>
      <c r="G101" s="999">
        <f>'Emission Factors'!$E$459*$D101*0.001</f>
        <v>0</v>
      </c>
      <c r="H101" s="744">
        <f t="shared" si="11"/>
        <v>0</v>
      </c>
    </row>
    <row r="102" spans="1:19" x14ac:dyDescent="0.35">
      <c r="A102" s="692"/>
      <c r="B102" s="925"/>
      <c r="C102" s="925"/>
      <c r="D102" s="964">
        <f t="shared" si="10"/>
        <v>0</v>
      </c>
      <c r="E102" s="999">
        <f>'Emission Factors'!$F$459*$D102*0.001</f>
        <v>0</v>
      </c>
      <c r="F102" s="999">
        <f>'Emission Factors'!$G$459*$D102*0.001</f>
        <v>0</v>
      </c>
      <c r="G102" s="999">
        <f>'Emission Factors'!$E$459*$D102*0.001</f>
        <v>0</v>
      </c>
      <c r="H102" s="744">
        <f t="shared" si="11"/>
        <v>0</v>
      </c>
    </row>
    <row r="103" spans="1:19" x14ac:dyDescent="0.35">
      <c r="A103" s="692"/>
      <c r="B103" s="925"/>
      <c r="C103" s="925"/>
      <c r="D103" s="964">
        <f t="shared" si="10"/>
        <v>0</v>
      </c>
      <c r="E103" s="999">
        <f>'Emission Factors'!$F$459*$D103*0.001</f>
        <v>0</v>
      </c>
      <c r="F103" s="999">
        <f>'Emission Factors'!$G$459*$D103*0.001</f>
        <v>0</v>
      </c>
      <c r="G103" s="999">
        <f>'Emission Factors'!$E$459*$D103*0.001</f>
        <v>0</v>
      </c>
      <c r="H103" s="744">
        <f t="shared" si="11"/>
        <v>0</v>
      </c>
    </row>
    <row r="104" spans="1:19" ht="16" thickBot="1" x14ac:dyDescent="0.4">
      <c r="A104" s="692"/>
      <c r="B104" s="925"/>
      <c r="C104" s="925"/>
      <c r="D104" s="964">
        <f t="shared" ref="D104" si="12">SUM(B104*0.001)*C104</f>
        <v>0</v>
      </c>
      <c r="E104" s="999">
        <f>'Emission Factors'!$F$459*$D104*0.001</f>
        <v>0</v>
      </c>
      <c r="F104" s="999">
        <f>'Emission Factors'!$G$459*$D104*0.001</f>
        <v>0</v>
      </c>
      <c r="G104" s="999">
        <f>'Emission Factors'!$E$459*$D104*0.001</f>
        <v>0</v>
      </c>
      <c r="H104" s="1001">
        <f>SUM(G104,F104,E104)</f>
        <v>0</v>
      </c>
    </row>
    <row r="105" spans="1:19" ht="16" thickBot="1" x14ac:dyDescent="0.4">
      <c r="A105" s="644" t="s">
        <v>843</v>
      </c>
      <c r="B105" s="652"/>
      <c r="C105" s="652"/>
      <c r="D105" s="644"/>
      <c r="E105" s="634"/>
      <c r="F105" s="634"/>
      <c r="G105" s="684" t="s">
        <v>1699</v>
      </c>
      <c r="H105" s="686">
        <f>SUM(H95:H104)</f>
        <v>0</v>
      </c>
      <c r="I105" s="634"/>
      <c r="J105" s="731"/>
    </row>
    <row r="106" spans="1:19" x14ac:dyDescent="0.35">
      <c r="A106" s="617"/>
      <c r="C106" s="617"/>
    </row>
    <row r="107" spans="1:19" s="1009" customFormat="1" ht="31" x14ac:dyDescent="0.7">
      <c r="A107" s="1498" t="s">
        <v>850</v>
      </c>
      <c r="B107" s="1499"/>
      <c r="C107" s="1499"/>
      <c r="D107" s="1499"/>
      <c r="E107" s="1499"/>
      <c r="F107" s="1499"/>
      <c r="G107" s="1499"/>
      <c r="H107" s="1499"/>
      <c r="I107" s="1499"/>
      <c r="J107" s="1499"/>
      <c r="K107" s="1499"/>
      <c r="L107" s="1499"/>
      <c r="M107" s="1499"/>
      <c r="N107" s="1499"/>
      <c r="O107" s="1499"/>
      <c r="P107" s="1499"/>
      <c r="Q107" s="1499"/>
      <c r="R107" s="1499"/>
      <c r="S107" s="1499"/>
    </row>
    <row r="108" spans="1:19" x14ac:dyDescent="0.35">
      <c r="A108" s="1159" t="s">
        <v>1983</v>
      </c>
      <c r="B108" s="634"/>
      <c r="D108" s="634"/>
      <c r="E108" s="634"/>
      <c r="F108" s="634"/>
      <c r="G108" s="634"/>
      <c r="H108" s="634"/>
      <c r="I108" s="634"/>
      <c r="J108" s="731"/>
      <c r="K108" s="731"/>
    </row>
    <row r="109" spans="1:19" ht="16" thickBot="1" x14ac:dyDescent="0.4">
      <c r="A109" s="1494" t="s">
        <v>330</v>
      </c>
      <c r="B109" s="1495"/>
      <c r="F109" s="634"/>
      <c r="G109" s="634"/>
      <c r="H109" s="634"/>
      <c r="I109" s="634"/>
      <c r="J109" s="731"/>
      <c r="K109" s="731"/>
    </row>
    <row r="110" spans="1:19" ht="31" x14ac:dyDescent="0.35">
      <c r="A110" s="628" t="s">
        <v>851</v>
      </c>
      <c r="B110" s="620" t="s">
        <v>838</v>
      </c>
      <c r="C110" s="628" t="s">
        <v>1770</v>
      </c>
      <c r="D110" s="628" t="s">
        <v>1771</v>
      </c>
      <c r="E110" s="975" t="s">
        <v>1772</v>
      </c>
      <c r="F110" s="742" t="s">
        <v>1745</v>
      </c>
    </row>
    <row r="111" spans="1:19" x14ac:dyDescent="0.35">
      <c r="A111" s="889"/>
      <c r="B111" s="840"/>
      <c r="C111" s="688">
        <f>$B111*'Emission Factors'!E$359*0.001</f>
        <v>0</v>
      </c>
      <c r="D111" s="688">
        <f>$B111*'Emission Factors'!F$359*0.001</f>
        <v>0</v>
      </c>
      <c r="E111" s="688">
        <f>$B111*'Emission Factors'!G$359*0.001</f>
        <v>0</v>
      </c>
      <c r="F111" s="624">
        <f>SUM(C111:E111)</f>
        <v>0</v>
      </c>
    </row>
    <row r="112" spans="1:19" x14ac:dyDescent="0.35">
      <c r="A112" s="889"/>
      <c r="B112" s="840"/>
      <c r="C112" s="688">
        <f>$B112*'Emission Factors'!E$359*0.001</f>
        <v>0</v>
      </c>
      <c r="D112" s="688">
        <f>$B112*'Emission Factors'!F$359*0.001</f>
        <v>0</v>
      </c>
      <c r="E112" s="688">
        <f>$B112*'Emission Factors'!G$359*0.001</f>
        <v>0</v>
      </c>
      <c r="F112" s="624">
        <f t="shared" ref="F112:F120" si="13">SUM(C112:E112)</f>
        <v>0</v>
      </c>
    </row>
    <row r="113" spans="1:17" x14ac:dyDescent="0.35">
      <c r="A113" s="889"/>
      <c r="B113" s="840"/>
      <c r="C113" s="688">
        <f>$B113*'Emission Factors'!E$359*0.001</f>
        <v>0</v>
      </c>
      <c r="D113" s="688">
        <f>$B113*'Emission Factors'!F$359*0.001</f>
        <v>0</v>
      </c>
      <c r="E113" s="688">
        <f>$B113*'Emission Factors'!G$359*0.001</f>
        <v>0</v>
      </c>
      <c r="F113" s="624">
        <f t="shared" si="13"/>
        <v>0</v>
      </c>
    </row>
    <row r="114" spans="1:17" x14ac:dyDescent="0.35">
      <c r="A114" s="889"/>
      <c r="B114" s="840"/>
      <c r="C114" s="688">
        <f>$B114*'Emission Factors'!E$359*0.001</f>
        <v>0</v>
      </c>
      <c r="D114" s="688">
        <f>$B114*'Emission Factors'!F$359*0.001</f>
        <v>0</v>
      </c>
      <c r="E114" s="688">
        <f>$B114*'Emission Factors'!G$359*0.001</f>
        <v>0</v>
      </c>
      <c r="F114" s="624">
        <f t="shared" si="13"/>
        <v>0</v>
      </c>
    </row>
    <row r="115" spans="1:17" x14ac:dyDescent="0.35">
      <c r="A115" s="889"/>
      <c r="B115" s="840"/>
      <c r="C115" s="688">
        <f>$B115*'Emission Factors'!E$359*0.001</f>
        <v>0</v>
      </c>
      <c r="D115" s="688">
        <f>$B115*'Emission Factors'!F$359*0.001</f>
        <v>0</v>
      </c>
      <c r="E115" s="688">
        <f>$B115*'Emission Factors'!G$359*0.001</f>
        <v>0</v>
      </c>
      <c r="F115" s="624">
        <f t="shared" si="13"/>
        <v>0</v>
      </c>
    </row>
    <row r="116" spans="1:17" x14ac:dyDescent="0.35">
      <c r="A116" s="889"/>
      <c r="B116" s="840"/>
      <c r="C116" s="688">
        <f>$B116*'Emission Factors'!E$359*0.001</f>
        <v>0</v>
      </c>
      <c r="D116" s="688">
        <f>$B116*'Emission Factors'!F$359*0.001</f>
        <v>0</v>
      </c>
      <c r="E116" s="688">
        <f>$B116*'Emission Factors'!G$359*0.001</f>
        <v>0</v>
      </c>
      <c r="F116" s="624">
        <f t="shared" si="13"/>
        <v>0</v>
      </c>
    </row>
    <row r="117" spans="1:17" x14ac:dyDescent="0.35">
      <c r="A117" s="889"/>
      <c r="B117" s="840"/>
      <c r="C117" s="688">
        <f>$B117*'Emission Factors'!E$359*0.001</f>
        <v>0</v>
      </c>
      <c r="D117" s="688">
        <f>$B117*'Emission Factors'!F$359*0.001</f>
        <v>0</v>
      </c>
      <c r="E117" s="688">
        <f>$B117*'Emission Factors'!G$359*0.001</f>
        <v>0</v>
      </c>
      <c r="F117" s="624">
        <f t="shared" si="13"/>
        <v>0</v>
      </c>
    </row>
    <row r="118" spans="1:17" x14ac:dyDescent="0.35">
      <c r="A118" s="889"/>
      <c r="B118" s="840"/>
      <c r="C118" s="688">
        <f>$B118*'Emission Factors'!E$359*0.001</f>
        <v>0</v>
      </c>
      <c r="D118" s="688">
        <f>$B118*'Emission Factors'!F$359*0.001</f>
        <v>0</v>
      </c>
      <c r="E118" s="688">
        <f>$B118*'Emission Factors'!G$359*0.001</f>
        <v>0</v>
      </c>
      <c r="F118" s="624">
        <f t="shared" si="13"/>
        <v>0</v>
      </c>
    </row>
    <row r="119" spans="1:17" x14ac:dyDescent="0.35">
      <c r="A119" s="889"/>
      <c r="B119" s="840"/>
      <c r="C119" s="688">
        <f>$B119*'Emission Factors'!E$359*0.001</f>
        <v>0</v>
      </c>
      <c r="D119" s="688">
        <f>$B119*'Emission Factors'!F$359*0.001</f>
        <v>0</v>
      </c>
      <c r="E119" s="688">
        <f>$B119*'Emission Factors'!G$359*0.001</f>
        <v>0</v>
      </c>
      <c r="F119" s="624">
        <f t="shared" si="13"/>
        <v>0</v>
      </c>
    </row>
    <row r="120" spans="1:17" ht="16" thickBot="1" x14ac:dyDescent="0.4">
      <c r="A120" s="889"/>
      <c r="B120" s="840"/>
      <c r="C120" s="688">
        <f>$B120*'Emission Factors'!E$359*0.001</f>
        <v>0</v>
      </c>
      <c r="D120" s="688">
        <f>$B120*'Emission Factors'!F$359*0.001</f>
        <v>0</v>
      </c>
      <c r="E120" s="688">
        <f>$B120*'Emission Factors'!G$359*0.001</f>
        <v>0</v>
      </c>
      <c r="F120" s="624">
        <f t="shared" si="13"/>
        <v>0</v>
      </c>
    </row>
    <row r="121" spans="1:17" ht="16" thickBot="1" x14ac:dyDescent="0.4">
      <c r="A121" s="617"/>
      <c r="C121" s="617"/>
      <c r="E121" s="684" t="s">
        <v>1699</v>
      </c>
      <c r="F121" s="686">
        <f>SUM(F111:F120)</f>
        <v>0</v>
      </c>
    </row>
    <row r="122" spans="1:17" s="689" customFormat="1" ht="14.5" x14ac:dyDescent="0.35"/>
    <row r="123" spans="1:17" s="667" customFormat="1" ht="23.5" x14ac:dyDescent="0.55000000000000004">
      <c r="A123" s="1578" t="s">
        <v>852</v>
      </c>
      <c r="B123" s="1579"/>
      <c r="C123" s="1579"/>
      <c r="D123" s="1579"/>
      <c r="E123" s="1579"/>
      <c r="F123" s="1579"/>
      <c r="G123" s="1579"/>
      <c r="H123" s="1579"/>
      <c r="I123" s="1579"/>
      <c r="J123" s="1579"/>
      <c r="K123" s="1579"/>
      <c r="L123" s="1579"/>
      <c r="M123" s="1579"/>
      <c r="N123" s="1579"/>
    </row>
    <row r="124" spans="1:17" s="667" customFormat="1" ht="23.5" x14ac:dyDescent="0.55000000000000004">
      <c r="A124" s="993"/>
      <c r="B124" s="922"/>
      <c r="C124" s="922"/>
      <c r="D124" s="1477" t="s">
        <v>330</v>
      </c>
      <c r="E124" s="1478"/>
      <c r="F124" s="922"/>
      <c r="G124" s="922"/>
      <c r="H124" s="922"/>
      <c r="I124" s="922"/>
      <c r="J124" s="923"/>
      <c r="K124" s="923"/>
      <c r="L124" s="923"/>
      <c r="M124" s="923"/>
      <c r="N124" s="923"/>
      <c r="O124" s="923"/>
      <c r="P124" s="923"/>
      <c r="Q124" s="923"/>
    </row>
    <row r="125" spans="1:17" s="667" customFormat="1" ht="24" thickBot="1" x14ac:dyDescent="0.6">
      <c r="A125" s="1575" t="s">
        <v>835</v>
      </c>
      <c r="B125" s="1576"/>
      <c r="C125" s="1576"/>
      <c r="D125" s="1576"/>
      <c r="E125" s="1576"/>
      <c r="F125" s="1576"/>
      <c r="G125" s="1576"/>
      <c r="H125" s="1576"/>
      <c r="I125" s="1576"/>
      <c r="J125" s="1577"/>
    </row>
    <row r="126" spans="1:17" s="668" customFormat="1" ht="55.5" x14ac:dyDescent="0.45">
      <c r="A126" s="994" t="s">
        <v>836</v>
      </c>
      <c r="B126" s="994" t="s">
        <v>837</v>
      </c>
      <c r="C126" s="994" t="s">
        <v>838</v>
      </c>
      <c r="D126" s="995" t="s">
        <v>1768</v>
      </c>
      <c r="E126" s="996" t="s">
        <v>1765</v>
      </c>
      <c r="F126" s="996" t="s">
        <v>1766</v>
      </c>
      <c r="G126" s="997" t="s">
        <v>1767</v>
      </c>
      <c r="H126" s="998" t="s">
        <v>580</v>
      </c>
      <c r="I126" s="807"/>
      <c r="J126" s="807"/>
      <c r="K126" s="807"/>
      <c r="L126" s="807"/>
      <c r="M126" s="807"/>
      <c r="N126" s="807"/>
    </row>
    <row r="127" spans="1:17" x14ac:dyDescent="0.35">
      <c r="A127" s="692"/>
      <c r="B127" s="925"/>
      <c r="C127" s="925"/>
      <c r="D127" s="964">
        <f>SUM(B127*0.001)*C127</f>
        <v>0</v>
      </c>
      <c r="E127" s="999">
        <f>'Emission Factors'!$F$501*D127*0.001</f>
        <v>0</v>
      </c>
      <c r="F127" s="688">
        <f>'Emission Factors'!$G$501*D127*0.001</f>
        <v>0</v>
      </c>
      <c r="G127" s="688">
        <f>'Emission Factors'!$E$501*D127*0.001</f>
        <v>0</v>
      </c>
      <c r="H127" s="744">
        <f>SUM(G127,F127,E127)</f>
        <v>0</v>
      </c>
    </row>
    <row r="128" spans="1:17" x14ac:dyDescent="0.35">
      <c r="A128" s="692"/>
      <c r="B128" s="925"/>
      <c r="C128" s="925"/>
      <c r="D128" s="964">
        <f t="shared" ref="D128:D136" si="14">SUM(B128*0.001)*C128</f>
        <v>0</v>
      </c>
      <c r="E128" s="999">
        <f>'Emission Factors'!$F$501*D128*0.001</f>
        <v>0</v>
      </c>
      <c r="F128" s="688">
        <f>'Emission Factors'!$G$501*D128*0.001</f>
        <v>0</v>
      </c>
      <c r="G128" s="688">
        <f>'Emission Factors'!$E$501*D128*0.001</f>
        <v>0</v>
      </c>
      <c r="H128" s="744">
        <f t="shared" ref="H128:H136" si="15">SUM(G128,F128,E128)</f>
        <v>0</v>
      </c>
    </row>
    <row r="129" spans="1:11" x14ac:dyDescent="0.35">
      <c r="A129" s="692"/>
      <c r="B129" s="925"/>
      <c r="C129" s="925"/>
      <c r="D129" s="964">
        <f t="shared" si="14"/>
        <v>0</v>
      </c>
      <c r="E129" s="999">
        <f>'Emission Factors'!$F$501*D129*0.001</f>
        <v>0</v>
      </c>
      <c r="F129" s="688">
        <f>'Emission Factors'!$G$501*D129*0.001</f>
        <v>0</v>
      </c>
      <c r="G129" s="688">
        <f>'Emission Factors'!$E$501*D129*0.001</f>
        <v>0</v>
      </c>
      <c r="H129" s="744">
        <f t="shared" si="15"/>
        <v>0</v>
      </c>
    </row>
    <row r="130" spans="1:11" x14ac:dyDescent="0.35">
      <c r="A130" s="692"/>
      <c r="B130" s="925"/>
      <c r="C130" s="925"/>
      <c r="D130" s="964">
        <f t="shared" si="14"/>
        <v>0</v>
      </c>
      <c r="E130" s="999">
        <f>'Emission Factors'!$F$501*D130*0.001</f>
        <v>0</v>
      </c>
      <c r="F130" s="688">
        <f>'Emission Factors'!$G$501*D130*0.001</f>
        <v>0</v>
      </c>
      <c r="G130" s="688">
        <f>'Emission Factors'!$E$501*D130*0.001</f>
        <v>0</v>
      </c>
      <c r="H130" s="744">
        <f t="shared" si="15"/>
        <v>0</v>
      </c>
    </row>
    <row r="131" spans="1:11" x14ac:dyDescent="0.35">
      <c r="A131" s="692"/>
      <c r="B131" s="925"/>
      <c r="C131" s="925"/>
      <c r="D131" s="964">
        <f t="shared" si="14"/>
        <v>0</v>
      </c>
      <c r="E131" s="999">
        <f>'Emission Factors'!$F$501*D131*0.001</f>
        <v>0</v>
      </c>
      <c r="F131" s="688">
        <f>'Emission Factors'!$G$501*D131*0.001</f>
        <v>0</v>
      </c>
      <c r="G131" s="688">
        <f>'Emission Factors'!$E$501*D131*0.001</f>
        <v>0</v>
      </c>
      <c r="H131" s="744">
        <f t="shared" si="15"/>
        <v>0</v>
      </c>
    </row>
    <row r="132" spans="1:11" x14ac:dyDescent="0.35">
      <c r="A132" s="692"/>
      <c r="B132" s="925"/>
      <c r="C132" s="925"/>
      <c r="D132" s="964">
        <f t="shared" si="14"/>
        <v>0</v>
      </c>
      <c r="E132" s="999">
        <f>'Emission Factors'!$F$501*D132*0.001</f>
        <v>0</v>
      </c>
      <c r="F132" s="688">
        <f>'Emission Factors'!$G$501*D132*0.001</f>
        <v>0</v>
      </c>
      <c r="G132" s="688">
        <f>'Emission Factors'!$E$501*D132*0.001</f>
        <v>0</v>
      </c>
      <c r="H132" s="744">
        <f t="shared" si="15"/>
        <v>0</v>
      </c>
    </row>
    <row r="133" spans="1:11" x14ac:dyDescent="0.35">
      <c r="A133" s="692"/>
      <c r="B133" s="925"/>
      <c r="C133" s="925"/>
      <c r="D133" s="964">
        <f t="shared" si="14"/>
        <v>0</v>
      </c>
      <c r="E133" s="999">
        <f>'Emission Factors'!$F$501*D133*0.001</f>
        <v>0</v>
      </c>
      <c r="F133" s="688">
        <f>'Emission Factors'!$G$501*D133*0.001</f>
        <v>0</v>
      </c>
      <c r="G133" s="688">
        <f>'Emission Factors'!$E$501*D133*0.001</f>
        <v>0</v>
      </c>
      <c r="H133" s="744">
        <f t="shared" si="15"/>
        <v>0</v>
      </c>
    </row>
    <row r="134" spans="1:11" x14ac:dyDescent="0.35">
      <c r="A134" s="692"/>
      <c r="B134" s="925"/>
      <c r="C134" s="925"/>
      <c r="D134" s="964">
        <f t="shared" si="14"/>
        <v>0</v>
      </c>
      <c r="E134" s="999">
        <f>'Emission Factors'!$F$501*D134*0.001</f>
        <v>0</v>
      </c>
      <c r="F134" s="688">
        <f>'Emission Factors'!$G$501*D134*0.001</f>
        <v>0</v>
      </c>
      <c r="G134" s="688">
        <f>'Emission Factors'!$E$501*D134*0.001</f>
        <v>0</v>
      </c>
      <c r="H134" s="744">
        <f t="shared" si="15"/>
        <v>0</v>
      </c>
    </row>
    <row r="135" spans="1:11" x14ac:dyDescent="0.35">
      <c r="A135" s="692"/>
      <c r="B135" s="925"/>
      <c r="C135" s="925"/>
      <c r="D135" s="964">
        <f t="shared" si="14"/>
        <v>0</v>
      </c>
      <c r="E135" s="999">
        <f>'Emission Factors'!$F$501*D135*0.001</f>
        <v>0</v>
      </c>
      <c r="F135" s="688">
        <f>'Emission Factors'!$G$501*D135*0.001</f>
        <v>0</v>
      </c>
      <c r="G135" s="688">
        <f>'Emission Factors'!$E$501*D135*0.001</f>
        <v>0</v>
      </c>
      <c r="H135" s="744">
        <f t="shared" si="15"/>
        <v>0</v>
      </c>
    </row>
    <row r="136" spans="1:11" ht="16" thickBot="1" x14ac:dyDescent="0.4">
      <c r="A136" s="692"/>
      <c r="B136" s="925"/>
      <c r="C136" s="925"/>
      <c r="D136" s="964">
        <f t="shared" si="14"/>
        <v>0</v>
      </c>
      <c r="E136" s="999">
        <f>'Emission Factors'!$F$501*D136*0.001</f>
        <v>0</v>
      </c>
      <c r="F136" s="688">
        <f>'Emission Factors'!$G$501*D136*0.001</f>
        <v>0</v>
      </c>
      <c r="G136" s="1000">
        <f>'Emission Factors'!$E$501*D136*0.001</f>
        <v>0</v>
      </c>
      <c r="H136" s="1001">
        <f t="shared" si="15"/>
        <v>0</v>
      </c>
    </row>
    <row r="137" spans="1:11" ht="16" thickBot="1" x14ac:dyDescent="0.4">
      <c r="A137" s="644" t="s">
        <v>840</v>
      </c>
      <c r="B137" s="1002"/>
      <c r="C137" s="1002"/>
      <c r="E137" s="634"/>
      <c r="F137" s="634"/>
      <c r="G137" s="684" t="s">
        <v>1699</v>
      </c>
      <c r="H137" s="686">
        <f>SUM(H127:H136)</f>
        <v>0</v>
      </c>
      <c r="I137" s="634"/>
      <c r="J137" s="731"/>
      <c r="K137" s="731"/>
    </row>
    <row r="138" spans="1:11" x14ac:dyDescent="0.35">
      <c r="A138" s="644"/>
      <c r="B138" s="1010"/>
      <c r="C138" s="1010"/>
      <c r="E138" s="634"/>
      <c r="F138" s="634"/>
      <c r="G138" s="634"/>
      <c r="H138" s="634"/>
      <c r="I138" s="634"/>
      <c r="J138" s="731"/>
      <c r="K138" s="731"/>
    </row>
    <row r="139" spans="1:11" s="667" customFormat="1" ht="23.5" x14ac:dyDescent="0.55000000000000004">
      <c r="A139" s="1003"/>
      <c r="B139" s="1003"/>
      <c r="C139" s="1003"/>
      <c r="D139" s="1477" t="s">
        <v>330</v>
      </c>
      <c r="E139" s="1478"/>
      <c r="F139" s="851"/>
      <c r="G139" s="851"/>
      <c r="H139" s="851"/>
      <c r="I139" s="851"/>
      <c r="J139" s="836"/>
      <c r="K139" s="836"/>
    </row>
    <row r="140" spans="1:11" s="667" customFormat="1" ht="24" thickBot="1" x14ac:dyDescent="0.6">
      <c r="A140" s="1573" t="s">
        <v>841</v>
      </c>
      <c r="B140" s="1580"/>
      <c r="C140" s="1580"/>
      <c r="D140" s="1580"/>
      <c r="E140" s="1580"/>
      <c r="F140" s="1580"/>
      <c r="G140" s="1580"/>
      <c r="H140" s="1580"/>
      <c r="I140" s="1580"/>
      <c r="J140" s="1580"/>
      <c r="K140" s="1580"/>
    </row>
    <row r="141" spans="1:11" s="668" customFormat="1" ht="55.5" x14ac:dyDescent="0.45">
      <c r="A141" s="994" t="s">
        <v>836</v>
      </c>
      <c r="B141" s="994" t="s">
        <v>842</v>
      </c>
      <c r="C141" s="994" t="s">
        <v>838</v>
      </c>
      <c r="D141" s="995" t="s">
        <v>839</v>
      </c>
      <c r="E141" s="996" t="s">
        <v>1765</v>
      </c>
      <c r="F141" s="996" t="s">
        <v>1766</v>
      </c>
      <c r="G141" s="997" t="s">
        <v>1767</v>
      </c>
      <c r="H141" s="998" t="s">
        <v>580</v>
      </c>
      <c r="I141" s="807"/>
    </row>
    <row r="142" spans="1:11" x14ac:dyDescent="0.35">
      <c r="A142" s="692"/>
      <c r="B142" s="925"/>
      <c r="C142" s="925"/>
      <c r="D142" s="964">
        <f>SUM(B142/1000)*C142</f>
        <v>0</v>
      </c>
      <c r="E142" s="999">
        <f>'Emission Factors'!$J$457*D142*0.001</f>
        <v>0</v>
      </c>
      <c r="F142" s="999">
        <f>'Emission Factors'!$K$457*D142*0.001</f>
        <v>0</v>
      </c>
      <c r="G142" s="688">
        <f>'Emission Factors'!$I$457*D142*0.001</f>
        <v>0</v>
      </c>
      <c r="H142" s="744">
        <f>SUM(G142,F142,E142)</f>
        <v>0</v>
      </c>
    </row>
    <row r="143" spans="1:11" x14ac:dyDescent="0.35">
      <c r="A143" s="692"/>
      <c r="B143" s="925"/>
      <c r="C143" s="925"/>
      <c r="D143" s="964">
        <f t="shared" ref="D143:D151" si="16">SUM(B143/1000)*C143</f>
        <v>0</v>
      </c>
      <c r="E143" s="999">
        <f>'Emission Factors'!$J$457*D143*0.001</f>
        <v>0</v>
      </c>
      <c r="F143" s="999">
        <f>'Emission Factors'!$K$457*D143*0.001</f>
        <v>0</v>
      </c>
      <c r="G143" s="688">
        <f>'Emission Factors'!$I$457*D143*0.001</f>
        <v>0</v>
      </c>
      <c r="H143" s="744">
        <f t="shared" ref="H143:H151" si="17">SUM(G143,F143,E143)</f>
        <v>0</v>
      </c>
    </row>
    <row r="144" spans="1:11" x14ac:dyDescent="0.35">
      <c r="A144" s="692"/>
      <c r="B144" s="925"/>
      <c r="C144" s="925"/>
      <c r="D144" s="964">
        <f t="shared" si="16"/>
        <v>0</v>
      </c>
      <c r="E144" s="999">
        <f>'Emission Factors'!$J$457*D144*0.001</f>
        <v>0</v>
      </c>
      <c r="F144" s="999">
        <f>'Emission Factors'!$K$457*D144*0.001</f>
        <v>0</v>
      </c>
      <c r="G144" s="688">
        <f>'Emission Factors'!$I$457*D144*0.001</f>
        <v>0</v>
      </c>
      <c r="H144" s="744">
        <f t="shared" si="17"/>
        <v>0</v>
      </c>
    </row>
    <row r="145" spans="1:11" x14ac:dyDescent="0.35">
      <c r="A145" s="692"/>
      <c r="B145" s="925"/>
      <c r="C145" s="925"/>
      <c r="D145" s="964">
        <f t="shared" si="16"/>
        <v>0</v>
      </c>
      <c r="E145" s="999">
        <f>'Emission Factors'!$J$457*D145*0.001</f>
        <v>0</v>
      </c>
      <c r="F145" s="999">
        <f>'Emission Factors'!$K$457*D145*0.001</f>
        <v>0</v>
      </c>
      <c r="G145" s="688">
        <f>'Emission Factors'!$I$457*D145*0.001</f>
        <v>0</v>
      </c>
      <c r="H145" s="744">
        <f t="shared" si="17"/>
        <v>0</v>
      </c>
    </row>
    <row r="146" spans="1:11" x14ac:dyDescent="0.35">
      <c r="A146" s="692"/>
      <c r="B146" s="925"/>
      <c r="C146" s="925"/>
      <c r="D146" s="964">
        <f t="shared" si="16"/>
        <v>0</v>
      </c>
      <c r="E146" s="999">
        <f>'Emission Factors'!$J$457*D146*0.001</f>
        <v>0</v>
      </c>
      <c r="F146" s="999">
        <f>'Emission Factors'!$K$457*D146*0.001</f>
        <v>0</v>
      </c>
      <c r="G146" s="688">
        <f>'Emission Factors'!$I$457*D146*0.001</f>
        <v>0</v>
      </c>
      <c r="H146" s="744">
        <f t="shared" si="17"/>
        <v>0</v>
      </c>
    </row>
    <row r="147" spans="1:11" x14ac:dyDescent="0.35">
      <c r="A147" s="692"/>
      <c r="B147" s="925"/>
      <c r="C147" s="925"/>
      <c r="D147" s="964">
        <f t="shared" si="16"/>
        <v>0</v>
      </c>
      <c r="E147" s="999">
        <f>'Emission Factors'!$J$457*D147*0.001</f>
        <v>0</v>
      </c>
      <c r="F147" s="999">
        <f>'Emission Factors'!$K$457*D147*0.001</f>
        <v>0</v>
      </c>
      <c r="G147" s="688">
        <f>'Emission Factors'!$I$457*D147*0.001</f>
        <v>0</v>
      </c>
      <c r="H147" s="744">
        <f t="shared" si="17"/>
        <v>0</v>
      </c>
    </row>
    <row r="148" spans="1:11" x14ac:dyDescent="0.35">
      <c r="A148" s="692"/>
      <c r="B148" s="925"/>
      <c r="C148" s="925"/>
      <c r="D148" s="964">
        <f t="shared" si="16"/>
        <v>0</v>
      </c>
      <c r="E148" s="999">
        <f>'Emission Factors'!$J$457*D148*0.001</f>
        <v>0</v>
      </c>
      <c r="F148" s="999">
        <f>'Emission Factors'!$K$457*D148*0.001</f>
        <v>0</v>
      </c>
      <c r="G148" s="688">
        <f>'Emission Factors'!$I$457*D148*0.001</f>
        <v>0</v>
      </c>
      <c r="H148" s="744">
        <f t="shared" si="17"/>
        <v>0</v>
      </c>
    </row>
    <row r="149" spans="1:11" x14ac:dyDescent="0.35">
      <c r="A149" s="692"/>
      <c r="B149" s="925"/>
      <c r="C149" s="925"/>
      <c r="D149" s="964">
        <f t="shared" si="16"/>
        <v>0</v>
      </c>
      <c r="E149" s="999">
        <f>'Emission Factors'!$J$457*D149*0.001</f>
        <v>0</v>
      </c>
      <c r="F149" s="999">
        <f>'Emission Factors'!$K$457*D149*0.001</f>
        <v>0</v>
      </c>
      <c r="G149" s="688">
        <f>'Emission Factors'!$I$457*D149*0.001</f>
        <v>0</v>
      </c>
      <c r="H149" s="744">
        <f t="shared" si="17"/>
        <v>0</v>
      </c>
    </row>
    <row r="150" spans="1:11" x14ac:dyDescent="0.35">
      <c r="A150" s="692"/>
      <c r="B150" s="925"/>
      <c r="C150" s="925"/>
      <c r="D150" s="964">
        <f t="shared" si="16"/>
        <v>0</v>
      </c>
      <c r="E150" s="999">
        <f>'Emission Factors'!$J$457*D150*0.001</f>
        <v>0</v>
      </c>
      <c r="F150" s="999">
        <f>'Emission Factors'!$K$457*D150*0.001</f>
        <v>0</v>
      </c>
      <c r="G150" s="688">
        <f>'Emission Factors'!$I$457*D150*0.001</f>
        <v>0</v>
      </c>
      <c r="H150" s="744">
        <f t="shared" si="17"/>
        <v>0</v>
      </c>
    </row>
    <row r="151" spans="1:11" ht="16" thickBot="1" x14ac:dyDescent="0.4">
      <c r="A151" s="692"/>
      <c r="B151" s="925"/>
      <c r="C151" s="925"/>
      <c r="D151" s="964">
        <f t="shared" si="16"/>
        <v>0</v>
      </c>
      <c r="E151" s="999">
        <f>'Emission Factors'!$J$457*D151*0.001</f>
        <v>0</v>
      </c>
      <c r="F151" s="999">
        <f>'Emission Factors'!$K$457*D151*0.001</f>
        <v>0</v>
      </c>
      <c r="G151" s="688">
        <f>'Emission Factors'!$I$457*D151*0.001</f>
        <v>0</v>
      </c>
      <c r="H151" s="1001">
        <f t="shared" si="17"/>
        <v>0</v>
      </c>
    </row>
    <row r="152" spans="1:11" ht="16" thickBot="1" x14ac:dyDescent="0.4">
      <c r="A152" s="644" t="s">
        <v>843</v>
      </c>
      <c r="B152" s="652"/>
      <c r="C152" s="652"/>
      <c r="D152" s="644"/>
      <c r="E152" s="634"/>
      <c r="F152" s="634"/>
      <c r="G152" s="684" t="s">
        <v>1699</v>
      </c>
      <c r="H152" s="686">
        <f>SUM(H142:H151)</f>
        <v>0</v>
      </c>
      <c r="I152" s="634"/>
      <c r="J152" s="731"/>
    </row>
    <row r="153" spans="1:11" x14ac:dyDescent="0.35">
      <c r="A153" s="652"/>
      <c r="B153" s="652"/>
      <c r="C153" s="652"/>
      <c r="D153" s="644"/>
      <c r="E153" s="634"/>
      <c r="F153" s="634"/>
      <c r="G153" s="634"/>
      <c r="H153" s="634"/>
      <c r="I153" s="634"/>
      <c r="J153" s="731"/>
      <c r="K153" s="731"/>
    </row>
    <row r="154" spans="1:11" s="667" customFormat="1" ht="23.5" x14ac:dyDescent="0.55000000000000004">
      <c r="A154" s="1004"/>
      <c r="B154" s="1004"/>
      <c r="C154" s="1004"/>
      <c r="D154" s="1477" t="s">
        <v>330</v>
      </c>
      <c r="E154" s="1478"/>
      <c r="F154" s="851"/>
      <c r="G154" s="851"/>
      <c r="H154" s="851"/>
      <c r="I154" s="851"/>
      <c r="J154" s="836"/>
      <c r="K154" s="836"/>
    </row>
    <row r="155" spans="1:11" s="667" customFormat="1" ht="24" thickBot="1" x14ac:dyDescent="0.6">
      <c r="A155" s="1573" t="s">
        <v>844</v>
      </c>
      <c r="B155" s="1580"/>
      <c r="C155" s="1580"/>
      <c r="D155" s="1580"/>
      <c r="E155" s="1580"/>
      <c r="F155" s="1580"/>
      <c r="G155" s="1580"/>
      <c r="H155" s="1580"/>
      <c r="I155" s="1580"/>
      <c r="J155" s="1580"/>
      <c r="K155" s="1580"/>
    </row>
    <row r="156" spans="1:11" s="668" customFormat="1" ht="55.5" x14ac:dyDescent="0.45">
      <c r="A156" s="994" t="s">
        <v>836</v>
      </c>
      <c r="B156" s="994" t="s">
        <v>842</v>
      </c>
      <c r="C156" s="994" t="s">
        <v>838</v>
      </c>
      <c r="D156" s="995" t="s">
        <v>839</v>
      </c>
      <c r="E156" s="996" t="s">
        <v>1765</v>
      </c>
      <c r="F156" s="996" t="s">
        <v>1766</v>
      </c>
      <c r="G156" s="997" t="s">
        <v>1767</v>
      </c>
      <c r="H156" s="998" t="s">
        <v>580</v>
      </c>
      <c r="I156" s="807"/>
    </row>
    <row r="157" spans="1:11" x14ac:dyDescent="0.35">
      <c r="A157" s="692"/>
      <c r="B157" s="925"/>
      <c r="C157" s="925"/>
      <c r="D157" s="964">
        <f>SUM(B157*0.001)*C157</f>
        <v>0</v>
      </c>
      <c r="E157" s="999">
        <f>'Emission Factors'!$F$359*$D157*0.001</f>
        <v>0</v>
      </c>
      <c r="F157" s="999">
        <f>'Emission Factors'!$G$359*$D157*0.001</f>
        <v>0</v>
      </c>
      <c r="G157" s="999">
        <f>'Emission Factors'!$E$359*$D157*0.001</f>
        <v>0</v>
      </c>
      <c r="H157" s="744">
        <f>SUM(G157,F157,E157)</f>
        <v>0</v>
      </c>
    </row>
    <row r="158" spans="1:11" x14ac:dyDescent="0.35">
      <c r="A158" s="692"/>
      <c r="B158" s="925"/>
      <c r="C158" s="925"/>
      <c r="D158" s="964">
        <f t="shared" ref="D158:D167" si="18">SUM(B158*0.001)*C158</f>
        <v>0</v>
      </c>
      <c r="E158" s="999">
        <f>'Emission Factors'!$F$359*D158*0.001</f>
        <v>0</v>
      </c>
      <c r="F158" s="999">
        <f>'Emission Factors'!$G$359*$D158*0.001</f>
        <v>0</v>
      </c>
      <c r="G158" s="999">
        <f>'Emission Factors'!$E$359*$D158*0.001</f>
        <v>0</v>
      </c>
      <c r="H158" s="744">
        <f t="shared" ref="H158:H166" si="19">SUM(G158,F158,E158)</f>
        <v>0</v>
      </c>
    </row>
    <row r="159" spans="1:11" x14ac:dyDescent="0.35">
      <c r="A159" s="692"/>
      <c r="B159" s="925"/>
      <c r="C159" s="925"/>
      <c r="D159" s="964">
        <f t="shared" si="18"/>
        <v>0</v>
      </c>
      <c r="E159" s="999">
        <f>'Emission Factors'!$F$359*D159*0.001</f>
        <v>0</v>
      </c>
      <c r="F159" s="999">
        <f>'Emission Factors'!$G$359*$D159*0.001</f>
        <v>0</v>
      </c>
      <c r="G159" s="999">
        <f>'Emission Factors'!$E$359*$D159*0.001</f>
        <v>0</v>
      </c>
      <c r="H159" s="744">
        <f t="shared" si="19"/>
        <v>0</v>
      </c>
    </row>
    <row r="160" spans="1:11" x14ac:dyDescent="0.35">
      <c r="A160" s="692"/>
      <c r="B160" s="925"/>
      <c r="C160" s="925"/>
      <c r="D160" s="964">
        <f t="shared" si="18"/>
        <v>0</v>
      </c>
      <c r="E160" s="999">
        <f>'Emission Factors'!$F$359*D160*0.001</f>
        <v>0</v>
      </c>
      <c r="F160" s="999">
        <f>'Emission Factors'!$G$359*$D160*0.001</f>
        <v>0</v>
      </c>
      <c r="G160" s="999">
        <f>'Emission Factors'!$E$359*$D160*0.001</f>
        <v>0</v>
      </c>
      <c r="H160" s="744">
        <f t="shared" si="19"/>
        <v>0</v>
      </c>
    </row>
    <row r="161" spans="1:11" x14ac:dyDescent="0.35">
      <c r="A161" s="692"/>
      <c r="B161" s="925"/>
      <c r="C161" s="925"/>
      <c r="D161" s="964">
        <f t="shared" si="18"/>
        <v>0</v>
      </c>
      <c r="E161" s="999">
        <f>'Emission Factors'!$F$359*D161*0.001</f>
        <v>0</v>
      </c>
      <c r="F161" s="999">
        <f>'Emission Factors'!$G$359*$D161*0.001</f>
        <v>0</v>
      </c>
      <c r="G161" s="999">
        <f>'Emission Factors'!$E$359*$D161*0.001</f>
        <v>0</v>
      </c>
      <c r="H161" s="744">
        <f t="shared" si="19"/>
        <v>0</v>
      </c>
    </row>
    <row r="162" spans="1:11" x14ac:dyDescent="0.35">
      <c r="A162" s="692"/>
      <c r="B162" s="925"/>
      <c r="C162" s="925"/>
      <c r="D162" s="964">
        <f t="shared" si="18"/>
        <v>0</v>
      </c>
      <c r="E162" s="999">
        <f>'Emission Factors'!$F$359*D162*0.001</f>
        <v>0</v>
      </c>
      <c r="F162" s="999">
        <f>'Emission Factors'!$G$359*$D162*0.001</f>
        <v>0</v>
      </c>
      <c r="G162" s="999">
        <f>'Emission Factors'!$E$359*$D162*0.001</f>
        <v>0</v>
      </c>
      <c r="H162" s="744">
        <f t="shared" si="19"/>
        <v>0</v>
      </c>
    </row>
    <row r="163" spans="1:11" x14ac:dyDescent="0.35">
      <c r="A163" s="692"/>
      <c r="B163" s="925"/>
      <c r="C163" s="925"/>
      <c r="D163" s="964">
        <f t="shared" si="18"/>
        <v>0</v>
      </c>
      <c r="E163" s="999">
        <f>'Emission Factors'!$F$359*D163*0.001</f>
        <v>0</v>
      </c>
      <c r="F163" s="999">
        <f>'Emission Factors'!$G$359*$D163*0.001</f>
        <v>0</v>
      </c>
      <c r="G163" s="999">
        <f>'Emission Factors'!$E$359*$D163*0.001</f>
        <v>0</v>
      </c>
      <c r="H163" s="744">
        <f t="shared" si="19"/>
        <v>0</v>
      </c>
    </row>
    <row r="164" spans="1:11" x14ac:dyDescent="0.35">
      <c r="A164" s="692"/>
      <c r="B164" s="925"/>
      <c r="C164" s="925"/>
      <c r="D164" s="964">
        <f t="shared" si="18"/>
        <v>0</v>
      </c>
      <c r="E164" s="999">
        <f>'Emission Factors'!$F$359*D164*0.001</f>
        <v>0</v>
      </c>
      <c r="F164" s="999">
        <f>'Emission Factors'!$G$359*$D164*0.001</f>
        <v>0</v>
      </c>
      <c r="G164" s="999">
        <f>'Emission Factors'!$E$359*$D164*0.001</f>
        <v>0</v>
      </c>
      <c r="H164" s="744">
        <f t="shared" si="19"/>
        <v>0</v>
      </c>
    </row>
    <row r="165" spans="1:11" x14ac:dyDescent="0.35">
      <c r="A165" s="692"/>
      <c r="B165" s="925"/>
      <c r="C165" s="925"/>
      <c r="D165" s="964">
        <f t="shared" si="18"/>
        <v>0</v>
      </c>
      <c r="E165" s="999">
        <f>'Emission Factors'!$F$359*D165*0.001</f>
        <v>0</v>
      </c>
      <c r="F165" s="999">
        <f>'Emission Factors'!$G$359*$D165*0.001</f>
        <v>0</v>
      </c>
      <c r="G165" s="999">
        <f>'Emission Factors'!$E$359*$D165*0.001</f>
        <v>0</v>
      </c>
      <c r="H165" s="744">
        <f t="shared" si="19"/>
        <v>0</v>
      </c>
    </row>
    <row r="166" spans="1:11" x14ac:dyDescent="0.35">
      <c r="A166" s="692"/>
      <c r="B166" s="925"/>
      <c r="C166" s="925"/>
      <c r="D166" s="964">
        <f t="shared" si="18"/>
        <v>0</v>
      </c>
      <c r="E166" s="999">
        <f>'Emission Factors'!$F$359*D166*0.001</f>
        <v>0</v>
      </c>
      <c r="F166" s="999">
        <f>'Emission Factors'!$G$359*$D166*0.001</f>
        <v>0</v>
      </c>
      <c r="G166" s="999">
        <f>'Emission Factors'!$E$359*$D166*0.001</f>
        <v>0</v>
      </c>
      <c r="H166" s="1001">
        <f t="shared" si="19"/>
        <v>0</v>
      </c>
    </row>
    <row r="167" spans="1:11" ht="16" thickBot="1" x14ac:dyDescent="0.4">
      <c r="A167" s="692"/>
      <c r="B167" s="925"/>
      <c r="C167" s="925"/>
      <c r="D167" s="964">
        <f t="shared" si="18"/>
        <v>0</v>
      </c>
      <c r="E167" s="999">
        <f>'Emission Factors'!$F$359*D167*0.001</f>
        <v>0</v>
      </c>
      <c r="F167" s="999">
        <f>'Emission Factors'!$G$359*$D167*0.001</f>
        <v>0</v>
      </c>
      <c r="G167" s="999">
        <f>'Emission Factors'!$E$359*$D167*0.001</f>
        <v>0</v>
      </c>
      <c r="H167" s="744">
        <f>SUM(G167,F167,E167)</f>
        <v>0</v>
      </c>
    </row>
    <row r="168" spans="1:11" ht="16" thickBot="1" x14ac:dyDescent="0.4">
      <c r="A168" s="644" t="s">
        <v>845</v>
      </c>
      <c r="B168" s="652"/>
      <c r="C168" s="652"/>
      <c r="D168" s="644"/>
      <c r="E168" s="634"/>
      <c r="F168" s="634"/>
      <c r="G168" s="684" t="s">
        <v>1699</v>
      </c>
      <c r="H168" s="686">
        <f>SUM(H158:H167)</f>
        <v>0</v>
      </c>
      <c r="I168" s="634"/>
      <c r="J168" s="731"/>
    </row>
    <row r="169" spans="1:11" x14ac:dyDescent="0.35">
      <c r="A169" s="652"/>
      <c r="B169" s="652"/>
      <c r="C169" s="652"/>
      <c r="D169" s="644"/>
      <c r="E169" s="634"/>
      <c r="F169" s="634"/>
      <c r="G169" s="634"/>
      <c r="H169" s="634"/>
      <c r="I169" s="634"/>
      <c r="J169" s="731"/>
      <c r="K169" s="731"/>
    </row>
    <row r="170" spans="1:11" s="667" customFormat="1" ht="23.5" x14ac:dyDescent="0.55000000000000004">
      <c r="A170" s="1004"/>
      <c r="B170" s="1004"/>
      <c r="C170" s="1004"/>
      <c r="D170" s="1477" t="s">
        <v>330</v>
      </c>
      <c r="E170" s="1478"/>
      <c r="F170" s="851"/>
      <c r="G170" s="851"/>
      <c r="H170" s="851"/>
      <c r="I170" s="851"/>
      <c r="J170" s="836"/>
      <c r="K170" s="836"/>
    </row>
    <row r="171" spans="1:11" s="667" customFormat="1" ht="23.5" customHeight="1" thickBot="1" x14ac:dyDescent="0.6">
      <c r="A171" s="1573" t="s">
        <v>846</v>
      </c>
      <c r="B171" s="1580"/>
      <c r="C171" s="1580"/>
      <c r="D171" s="1580"/>
      <c r="E171" s="1580"/>
      <c r="F171" s="1580"/>
      <c r="G171" s="1580"/>
      <c r="H171" s="1580"/>
      <c r="I171" s="1580"/>
      <c r="J171" s="1580"/>
      <c r="K171" s="1580"/>
    </row>
    <row r="172" spans="1:11" s="668" customFormat="1" ht="55.5" x14ac:dyDescent="0.45">
      <c r="A172" s="994" t="s">
        <v>836</v>
      </c>
      <c r="B172" s="994" t="s">
        <v>842</v>
      </c>
      <c r="C172" s="994" t="s">
        <v>838</v>
      </c>
      <c r="D172" s="995" t="s">
        <v>839</v>
      </c>
      <c r="E172" s="996" t="s">
        <v>1765</v>
      </c>
      <c r="F172" s="996" t="s">
        <v>1766</v>
      </c>
      <c r="G172" s="997" t="s">
        <v>1767</v>
      </c>
      <c r="H172" s="998" t="s">
        <v>580</v>
      </c>
      <c r="I172" s="807"/>
    </row>
    <row r="173" spans="1:11" x14ac:dyDescent="0.35">
      <c r="A173" s="692"/>
      <c r="B173" s="925"/>
      <c r="C173" s="925"/>
      <c r="D173" s="964">
        <f>SUM(B173*0.001)*C173</f>
        <v>0</v>
      </c>
      <c r="E173" s="999">
        <f>'Emission Factors'!$F$464*$D173*0.001</f>
        <v>0</v>
      </c>
      <c r="F173" s="999">
        <f>'Emission Factors'!$G$464*$D173*0.001</f>
        <v>0</v>
      </c>
      <c r="G173" s="999">
        <f>'Emission Factors'!$E$464*$D173*0.001</f>
        <v>0</v>
      </c>
      <c r="H173" s="744">
        <f>SUM(G173,F173,E173)</f>
        <v>0</v>
      </c>
    </row>
    <row r="174" spans="1:11" x14ac:dyDescent="0.35">
      <c r="A174" s="692"/>
      <c r="B174" s="925"/>
      <c r="C174" s="925"/>
      <c r="D174" s="964">
        <f t="shared" ref="D174:D182" si="20">SUM(B174*0.001)*C174</f>
        <v>0</v>
      </c>
      <c r="E174" s="999">
        <f>'Emission Factors'!$F$464*$D174*0.001</f>
        <v>0</v>
      </c>
      <c r="F174" s="999">
        <f>'Emission Factors'!$G$464*$D174*0.001</f>
        <v>0</v>
      </c>
      <c r="G174" s="999">
        <f>'Emission Factors'!$E$464*$D174*0.001</f>
        <v>0</v>
      </c>
      <c r="H174" s="744">
        <f t="shared" ref="H174:H182" si="21">SUM(G174,F174,E174)</f>
        <v>0</v>
      </c>
    </row>
    <row r="175" spans="1:11" x14ac:dyDescent="0.35">
      <c r="A175" s="692"/>
      <c r="B175" s="925"/>
      <c r="C175" s="925"/>
      <c r="D175" s="964">
        <f t="shared" si="20"/>
        <v>0</v>
      </c>
      <c r="E175" s="999">
        <f>'Emission Factors'!$F$464*$D175*0.001</f>
        <v>0</v>
      </c>
      <c r="F175" s="999">
        <f>'Emission Factors'!$G$464*$D175*0.001</f>
        <v>0</v>
      </c>
      <c r="G175" s="999">
        <f>'Emission Factors'!$E$464*$D175*0.001</f>
        <v>0</v>
      </c>
      <c r="H175" s="744">
        <f t="shared" si="21"/>
        <v>0</v>
      </c>
    </row>
    <row r="176" spans="1:11" x14ac:dyDescent="0.35">
      <c r="A176" s="692"/>
      <c r="B176" s="925"/>
      <c r="C176" s="925"/>
      <c r="D176" s="964">
        <f t="shared" si="20"/>
        <v>0</v>
      </c>
      <c r="E176" s="999">
        <f>'Emission Factors'!$F$464*$D176*0.001</f>
        <v>0</v>
      </c>
      <c r="F176" s="999">
        <f>'Emission Factors'!$G$464*$D176*0.001</f>
        <v>0</v>
      </c>
      <c r="G176" s="999">
        <f>'Emission Factors'!$E$464*$D176*0.001</f>
        <v>0</v>
      </c>
      <c r="H176" s="744">
        <f t="shared" si="21"/>
        <v>0</v>
      </c>
    </row>
    <row r="177" spans="1:17" x14ac:dyDescent="0.35">
      <c r="A177" s="692"/>
      <c r="B177" s="925"/>
      <c r="C177" s="925"/>
      <c r="D177" s="964">
        <f t="shared" si="20"/>
        <v>0</v>
      </c>
      <c r="E177" s="999">
        <f>'Emission Factors'!$F$464*$D177*0.001</f>
        <v>0</v>
      </c>
      <c r="F177" s="999">
        <f>'Emission Factors'!$G$464*$D177*0.001</f>
        <v>0</v>
      </c>
      <c r="G177" s="999">
        <f>'Emission Factors'!$E$464*$D177*0.001</f>
        <v>0</v>
      </c>
      <c r="H177" s="744">
        <f t="shared" si="21"/>
        <v>0</v>
      </c>
    </row>
    <row r="178" spans="1:17" x14ac:dyDescent="0.35">
      <c r="A178" s="692"/>
      <c r="B178" s="925"/>
      <c r="C178" s="925"/>
      <c r="D178" s="964">
        <f t="shared" si="20"/>
        <v>0</v>
      </c>
      <c r="E178" s="999">
        <f>'Emission Factors'!$F$464*$D178*0.001</f>
        <v>0</v>
      </c>
      <c r="F178" s="999">
        <f>'Emission Factors'!$G$464*$D178*0.001</f>
        <v>0</v>
      </c>
      <c r="G178" s="999">
        <f>'Emission Factors'!$E$464*$D178*0.001</f>
        <v>0</v>
      </c>
      <c r="H178" s="744">
        <f t="shared" si="21"/>
        <v>0</v>
      </c>
    </row>
    <row r="179" spans="1:17" x14ac:dyDescent="0.35">
      <c r="A179" s="692"/>
      <c r="B179" s="925"/>
      <c r="C179" s="925"/>
      <c r="D179" s="964">
        <f t="shared" si="20"/>
        <v>0</v>
      </c>
      <c r="E179" s="999">
        <f>'Emission Factors'!$F$464*$D179*0.001</f>
        <v>0</v>
      </c>
      <c r="F179" s="999">
        <f>'Emission Factors'!$G$464*$D179*0.001</f>
        <v>0</v>
      </c>
      <c r="G179" s="999">
        <f>'Emission Factors'!$E$464*$D179*0.001</f>
        <v>0</v>
      </c>
      <c r="H179" s="744">
        <f t="shared" si="21"/>
        <v>0</v>
      </c>
    </row>
    <row r="180" spans="1:17" x14ac:dyDescent="0.35">
      <c r="A180" s="692"/>
      <c r="B180" s="925"/>
      <c r="C180" s="925"/>
      <c r="D180" s="964">
        <f t="shared" si="20"/>
        <v>0</v>
      </c>
      <c r="E180" s="999">
        <f>'Emission Factors'!$F$464*$D180*0.001</f>
        <v>0</v>
      </c>
      <c r="F180" s="999">
        <f>'Emission Factors'!$G$464*$D180*0.001</f>
        <v>0</v>
      </c>
      <c r="G180" s="999">
        <f>'Emission Factors'!$E$464*$D180*0.001</f>
        <v>0</v>
      </c>
      <c r="H180" s="744">
        <f t="shared" si="21"/>
        <v>0</v>
      </c>
    </row>
    <row r="181" spans="1:17" x14ac:dyDescent="0.35">
      <c r="A181" s="692"/>
      <c r="B181" s="925"/>
      <c r="C181" s="925"/>
      <c r="D181" s="964">
        <f t="shared" si="20"/>
        <v>0</v>
      </c>
      <c r="E181" s="999">
        <f>'Emission Factors'!$F$464*$D181*0.001</f>
        <v>0</v>
      </c>
      <c r="F181" s="999">
        <f>'Emission Factors'!$G$464*$D181*0.001</f>
        <v>0</v>
      </c>
      <c r="G181" s="999">
        <f>'Emission Factors'!$E$464*$D181*0.001</f>
        <v>0</v>
      </c>
      <c r="H181" s="744">
        <f t="shared" si="21"/>
        <v>0</v>
      </c>
    </row>
    <row r="182" spans="1:17" ht="16" thickBot="1" x14ac:dyDescent="0.4">
      <c r="A182" s="692"/>
      <c r="B182" s="925"/>
      <c r="C182" s="925"/>
      <c r="D182" s="964">
        <f t="shared" si="20"/>
        <v>0</v>
      </c>
      <c r="E182" s="999">
        <f>'Emission Factors'!$F$464*$D182*0.001</f>
        <v>0</v>
      </c>
      <c r="F182" s="999">
        <f>'Emission Factors'!$G$464*$D182*0.001</f>
        <v>0</v>
      </c>
      <c r="G182" s="999">
        <f>'Emission Factors'!$E$464*$D182*0.001</f>
        <v>0</v>
      </c>
      <c r="H182" s="1001">
        <f t="shared" si="21"/>
        <v>0</v>
      </c>
    </row>
    <row r="183" spans="1:17" ht="19" thickBot="1" x14ac:dyDescent="0.4">
      <c r="A183" s="1007" t="s">
        <v>847</v>
      </c>
      <c r="B183" s="652"/>
      <c r="C183" s="652"/>
      <c r="D183" s="644"/>
      <c r="E183" s="634"/>
      <c r="F183" s="634"/>
      <c r="G183" s="684" t="s">
        <v>1699</v>
      </c>
      <c r="H183" s="686">
        <f>SUM(H173:H182)</f>
        <v>0</v>
      </c>
      <c r="I183" s="634"/>
      <c r="J183" s="731"/>
      <c r="K183" s="731"/>
    </row>
    <row r="184" spans="1:17" s="689" customFormat="1" ht="14.5" x14ac:dyDescent="0.35"/>
    <row r="185" spans="1:17" s="689" customFormat="1" ht="14.5" x14ac:dyDescent="0.35"/>
    <row r="186" spans="1:17" s="667" customFormat="1" ht="23.5" x14ac:dyDescent="0.55000000000000004">
      <c r="A186" s="1578" t="s">
        <v>853</v>
      </c>
      <c r="B186" s="1579"/>
      <c r="C186" s="1579"/>
      <c r="D186" s="1579"/>
      <c r="E186" s="1579"/>
      <c r="F186" s="1579"/>
      <c r="G186" s="1579"/>
      <c r="H186" s="1579"/>
      <c r="I186" s="1579"/>
      <c r="J186" s="1579"/>
      <c r="K186" s="1579"/>
      <c r="L186" s="1579"/>
      <c r="M186" s="1579"/>
      <c r="N186" s="1579"/>
    </row>
    <row r="187" spans="1:17" s="667" customFormat="1" ht="23.5" x14ac:dyDescent="0.55000000000000004">
      <c r="A187" s="993"/>
      <c r="B187" s="922"/>
      <c r="C187" s="922"/>
      <c r="D187" s="1477" t="s">
        <v>330</v>
      </c>
      <c r="E187" s="1478"/>
      <c r="F187" s="922"/>
      <c r="G187" s="922"/>
      <c r="H187" s="922"/>
      <c r="I187" s="922"/>
      <c r="J187" s="923"/>
      <c r="K187" s="923"/>
      <c r="L187" s="923"/>
      <c r="M187" s="923"/>
      <c r="N187" s="923"/>
      <c r="O187" s="923"/>
      <c r="P187" s="923"/>
      <c r="Q187" s="923"/>
    </row>
    <row r="188" spans="1:17" s="667" customFormat="1" ht="24" thickBot="1" x14ac:dyDescent="0.6">
      <c r="A188" s="1575" t="s">
        <v>835</v>
      </c>
      <c r="B188" s="1576"/>
      <c r="C188" s="1576"/>
      <c r="D188" s="1576"/>
      <c r="E188" s="1576"/>
      <c r="F188" s="1576"/>
      <c r="G188" s="1576"/>
      <c r="H188" s="1576"/>
      <c r="I188" s="1576"/>
      <c r="J188" s="1577"/>
    </row>
    <row r="189" spans="1:17" s="668" customFormat="1" ht="55.5" x14ac:dyDescent="0.45">
      <c r="A189" s="994" t="s">
        <v>836</v>
      </c>
      <c r="B189" s="994" t="s">
        <v>837</v>
      </c>
      <c r="C189" s="994" t="s">
        <v>838</v>
      </c>
      <c r="D189" s="995" t="s">
        <v>1768</v>
      </c>
      <c r="E189" s="996" t="s">
        <v>1765</v>
      </c>
      <c r="F189" s="996" t="s">
        <v>1766</v>
      </c>
      <c r="G189" s="997" t="s">
        <v>1767</v>
      </c>
      <c r="H189" s="998" t="s">
        <v>580</v>
      </c>
      <c r="I189" s="807"/>
      <c r="J189" s="807"/>
      <c r="K189" s="807"/>
      <c r="L189" s="807"/>
      <c r="M189" s="807"/>
      <c r="N189" s="807"/>
    </row>
    <row r="190" spans="1:17" x14ac:dyDescent="0.35">
      <c r="A190" s="692"/>
      <c r="B190" s="925"/>
      <c r="C190" s="925"/>
      <c r="D190" s="964">
        <f>SUM(B190*0.001)*C190</f>
        <v>0</v>
      </c>
      <c r="E190" s="999">
        <f>'Emission Factors'!$F$501*D190*0.001</f>
        <v>0</v>
      </c>
      <c r="F190" s="688">
        <f>'Emission Factors'!$G$501*D190*0.001</f>
        <v>0</v>
      </c>
      <c r="G190" s="688">
        <f>'Emission Factors'!$E$501*D190*0.001</f>
        <v>0</v>
      </c>
      <c r="H190" s="744">
        <f>SUM(G190,F190,E190)</f>
        <v>0</v>
      </c>
    </row>
    <row r="191" spans="1:17" x14ac:dyDescent="0.35">
      <c r="A191" s="692"/>
      <c r="B191" s="925"/>
      <c r="C191" s="925"/>
      <c r="D191" s="964">
        <f t="shared" ref="D191:D199" si="22">SUM(B191*0.001)*C191</f>
        <v>0</v>
      </c>
      <c r="E191" s="999">
        <f>'Emission Factors'!$F$501*D191*0.001</f>
        <v>0</v>
      </c>
      <c r="F191" s="688">
        <f>'Emission Factors'!$G$501*D191*0.001</f>
        <v>0</v>
      </c>
      <c r="G191" s="688">
        <f>'Emission Factors'!$E$501*D191*0.001</f>
        <v>0</v>
      </c>
      <c r="H191" s="744">
        <f t="shared" ref="H191:H199" si="23">SUM(G191,F191,E191)</f>
        <v>0</v>
      </c>
    </row>
    <row r="192" spans="1:17" x14ac:dyDescent="0.35">
      <c r="A192" s="692"/>
      <c r="B192" s="925"/>
      <c r="C192" s="925"/>
      <c r="D192" s="964">
        <f t="shared" si="22"/>
        <v>0</v>
      </c>
      <c r="E192" s="999">
        <f>'Emission Factors'!$F$501*D192*0.001</f>
        <v>0</v>
      </c>
      <c r="F192" s="688">
        <f>'Emission Factors'!$G$501*D192*0.001</f>
        <v>0</v>
      </c>
      <c r="G192" s="688">
        <f>'Emission Factors'!$E$501*D192*0.001</f>
        <v>0</v>
      </c>
      <c r="H192" s="744">
        <f t="shared" si="23"/>
        <v>0</v>
      </c>
    </row>
    <row r="193" spans="1:11" x14ac:dyDescent="0.35">
      <c r="A193" s="692"/>
      <c r="B193" s="925"/>
      <c r="C193" s="925"/>
      <c r="D193" s="964">
        <f t="shared" si="22"/>
        <v>0</v>
      </c>
      <c r="E193" s="999">
        <f>'Emission Factors'!$F$501*D193*0.001</f>
        <v>0</v>
      </c>
      <c r="F193" s="688">
        <f>'Emission Factors'!$G$501*D193*0.001</f>
        <v>0</v>
      </c>
      <c r="G193" s="688">
        <f>'Emission Factors'!$E$501*D193*0.001</f>
        <v>0</v>
      </c>
      <c r="H193" s="744">
        <f t="shared" si="23"/>
        <v>0</v>
      </c>
    </row>
    <row r="194" spans="1:11" x14ac:dyDescent="0.35">
      <c r="A194" s="692"/>
      <c r="B194" s="925"/>
      <c r="C194" s="925"/>
      <c r="D194" s="964">
        <f t="shared" si="22"/>
        <v>0</v>
      </c>
      <c r="E194" s="999">
        <f>'Emission Factors'!$F$501*D194*0.001</f>
        <v>0</v>
      </c>
      <c r="F194" s="688">
        <f>'Emission Factors'!$G$501*D194*0.001</f>
        <v>0</v>
      </c>
      <c r="G194" s="688">
        <f>'Emission Factors'!$E$501*D194*0.001</f>
        <v>0</v>
      </c>
      <c r="H194" s="744">
        <f t="shared" si="23"/>
        <v>0</v>
      </c>
    </row>
    <row r="195" spans="1:11" x14ac:dyDescent="0.35">
      <c r="A195" s="692"/>
      <c r="B195" s="925"/>
      <c r="C195" s="925"/>
      <c r="D195" s="964">
        <f t="shared" si="22"/>
        <v>0</v>
      </c>
      <c r="E195" s="999">
        <f>'Emission Factors'!$F$501*D195*0.001</f>
        <v>0</v>
      </c>
      <c r="F195" s="688">
        <f>'Emission Factors'!$G$501*D195*0.001</f>
        <v>0</v>
      </c>
      <c r="G195" s="688">
        <f>'Emission Factors'!$E$501*D195*0.001</f>
        <v>0</v>
      </c>
      <c r="H195" s="744">
        <f t="shared" si="23"/>
        <v>0</v>
      </c>
    </row>
    <row r="196" spans="1:11" x14ac:dyDescent="0.35">
      <c r="A196" s="692"/>
      <c r="B196" s="925"/>
      <c r="C196" s="925"/>
      <c r="D196" s="964">
        <f t="shared" si="22"/>
        <v>0</v>
      </c>
      <c r="E196" s="999">
        <f>'Emission Factors'!$F$501*D196*0.001</f>
        <v>0</v>
      </c>
      <c r="F196" s="688">
        <f>'Emission Factors'!$G$501*D196*0.001</f>
        <v>0</v>
      </c>
      <c r="G196" s="688">
        <f>'Emission Factors'!$E$501*D196*0.001</f>
        <v>0</v>
      </c>
      <c r="H196" s="744">
        <f t="shared" si="23"/>
        <v>0</v>
      </c>
    </row>
    <row r="197" spans="1:11" x14ac:dyDescent="0.35">
      <c r="A197" s="692"/>
      <c r="B197" s="925"/>
      <c r="C197" s="925"/>
      <c r="D197" s="964">
        <f t="shared" si="22"/>
        <v>0</v>
      </c>
      <c r="E197" s="999">
        <f>'Emission Factors'!$F$501*D197*0.001</f>
        <v>0</v>
      </c>
      <c r="F197" s="688">
        <f>'Emission Factors'!$G$501*D197*0.001</f>
        <v>0</v>
      </c>
      <c r="G197" s="688">
        <f>'Emission Factors'!$E$501*D197*0.001</f>
        <v>0</v>
      </c>
      <c r="H197" s="744">
        <f t="shared" si="23"/>
        <v>0</v>
      </c>
    </row>
    <row r="198" spans="1:11" x14ac:dyDescent="0.35">
      <c r="A198" s="692"/>
      <c r="B198" s="925"/>
      <c r="C198" s="925"/>
      <c r="D198" s="964">
        <f t="shared" si="22"/>
        <v>0</v>
      </c>
      <c r="E198" s="999">
        <f>'Emission Factors'!$F$501*D198*0.001</f>
        <v>0</v>
      </c>
      <c r="F198" s="688">
        <f>'Emission Factors'!$G$501*D198*0.001</f>
        <v>0</v>
      </c>
      <c r="G198" s="688">
        <f>'Emission Factors'!$E$501*D198*0.001</f>
        <v>0</v>
      </c>
      <c r="H198" s="744">
        <f t="shared" si="23"/>
        <v>0</v>
      </c>
    </row>
    <row r="199" spans="1:11" ht="16" thickBot="1" x14ac:dyDescent="0.4">
      <c r="A199" s="692"/>
      <c r="B199" s="925"/>
      <c r="C199" s="925"/>
      <c r="D199" s="964">
        <f t="shared" si="22"/>
        <v>0</v>
      </c>
      <c r="E199" s="999">
        <f>'Emission Factors'!$F$501*D199*0.001</f>
        <v>0</v>
      </c>
      <c r="F199" s="688">
        <f>'Emission Factors'!$G$501*D199*0.001</f>
        <v>0</v>
      </c>
      <c r="G199" s="1000">
        <f>'Emission Factors'!$E$501*D199*0.001</f>
        <v>0</v>
      </c>
      <c r="H199" s="1001">
        <f t="shared" si="23"/>
        <v>0</v>
      </c>
    </row>
    <row r="200" spans="1:11" ht="16" thickBot="1" x14ac:dyDescent="0.4">
      <c r="A200" s="644" t="s">
        <v>840</v>
      </c>
      <c r="B200" s="1002"/>
      <c r="C200" s="1002"/>
      <c r="E200" s="634"/>
      <c r="F200" s="634"/>
      <c r="G200" s="684" t="s">
        <v>1699</v>
      </c>
      <c r="H200" s="686">
        <f>SUM(H190:H199)</f>
        <v>0</v>
      </c>
      <c r="I200" s="634"/>
      <c r="J200" s="731"/>
      <c r="K200" s="731"/>
    </row>
    <row r="201" spans="1:11" x14ac:dyDescent="0.35">
      <c r="A201" s="644"/>
      <c r="B201" s="1010"/>
      <c r="C201" s="1010"/>
      <c r="E201" s="634"/>
      <c r="F201" s="634"/>
      <c r="G201" s="634"/>
      <c r="H201" s="634"/>
      <c r="I201" s="634"/>
      <c r="J201" s="731"/>
      <c r="K201" s="731"/>
    </row>
    <row r="202" spans="1:11" s="667" customFormat="1" ht="23.5" x14ac:dyDescent="0.55000000000000004">
      <c r="A202" s="1003"/>
      <c r="B202" s="1003"/>
      <c r="C202" s="1003"/>
      <c r="D202" s="1477" t="s">
        <v>330</v>
      </c>
      <c r="E202" s="1478"/>
      <c r="F202" s="851"/>
      <c r="G202" s="851"/>
      <c r="H202" s="851"/>
      <c r="I202" s="851"/>
      <c r="J202" s="836"/>
      <c r="K202" s="836"/>
    </row>
    <row r="203" spans="1:11" s="667" customFormat="1" ht="24" thickBot="1" x14ac:dyDescent="0.6">
      <c r="A203" s="1573" t="s">
        <v>841</v>
      </c>
      <c r="B203" s="1580"/>
      <c r="C203" s="1580"/>
      <c r="D203" s="1580"/>
      <c r="E203" s="1580"/>
      <c r="F203" s="1580"/>
      <c r="G203" s="1580"/>
      <c r="H203" s="1580"/>
      <c r="I203" s="1580"/>
      <c r="J203" s="1580"/>
      <c r="K203" s="1580"/>
    </row>
    <row r="204" spans="1:11" s="668" customFormat="1" ht="55.5" x14ac:dyDescent="0.45">
      <c r="A204" s="994" t="s">
        <v>836</v>
      </c>
      <c r="B204" s="994" t="s">
        <v>842</v>
      </c>
      <c r="C204" s="994" t="s">
        <v>838</v>
      </c>
      <c r="D204" s="995" t="s">
        <v>839</v>
      </c>
      <c r="E204" s="996" t="s">
        <v>1765</v>
      </c>
      <c r="F204" s="996" t="s">
        <v>1766</v>
      </c>
      <c r="G204" s="997" t="s">
        <v>1767</v>
      </c>
      <c r="H204" s="998" t="s">
        <v>580</v>
      </c>
      <c r="I204" s="807"/>
    </row>
    <row r="205" spans="1:11" x14ac:dyDescent="0.35">
      <c r="A205" s="692"/>
      <c r="B205" s="925"/>
      <c r="C205" s="925"/>
      <c r="D205" s="964">
        <f>SUM(B205/1000)*C205</f>
        <v>0</v>
      </c>
      <c r="E205" s="999">
        <f>'Emission Factors'!$J$457*D205*0.001</f>
        <v>0</v>
      </c>
      <c r="F205" s="999">
        <f>'Emission Factors'!$K$457*D205*0.001</f>
        <v>0</v>
      </c>
      <c r="G205" s="688">
        <f>'Emission Factors'!$I$457*D205*0.001</f>
        <v>0</v>
      </c>
      <c r="H205" s="744">
        <f>SUM(G205,F205,E205)</f>
        <v>0</v>
      </c>
    </row>
    <row r="206" spans="1:11" x14ac:dyDescent="0.35">
      <c r="A206" s="692"/>
      <c r="B206" s="925"/>
      <c r="C206" s="925"/>
      <c r="D206" s="964">
        <f t="shared" ref="D206:D214" si="24">SUM(B206/1000)*C206</f>
        <v>0</v>
      </c>
      <c r="E206" s="999">
        <f>'Emission Factors'!$J$457*D206*0.001</f>
        <v>0</v>
      </c>
      <c r="F206" s="999">
        <f>'Emission Factors'!$K$457*D206*0.001</f>
        <v>0</v>
      </c>
      <c r="G206" s="688">
        <f>'Emission Factors'!$I$457*D206*0.001</f>
        <v>0</v>
      </c>
      <c r="H206" s="744">
        <f t="shared" ref="H206:H214" si="25">SUM(G206,F206,E206)</f>
        <v>0</v>
      </c>
    </row>
    <row r="207" spans="1:11" x14ac:dyDescent="0.35">
      <c r="A207" s="692"/>
      <c r="B207" s="925"/>
      <c r="C207" s="925"/>
      <c r="D207" s="964">
        <f t="shared" si="24"/>
        <v>0</v>
      </c>
      <c r="E207" s="999">
        <f>'Emission Factors'!$J$457*D207*0.001</f>
        <v>0</v>
      </c>
      <c r="F207" s="999">
        <f>'Emission Factors'!$K$457*D207*0.001</f>
        <v>0</v>
      </c>
      <c r="G207" s="688">
        <f>'Emission Factors'!$I$457*D207*0.001</f>
        <v>0</v>
      </c>
      <c r="H207" s="744">
        <f t="shared" si="25"/>
        <v>0</v>
      </c>
    </row>
    <row r="208" spans="1:11" x14ac:dyDescent="0.35">
      <c r="A208" s="692"/>
      <c r="B208" s="925"/>
      <c r="C208" s="925"/>
      <c r="D208" s="964">
        <f t="shared" si="24"/>
        <v>0</v>
      </c>
      <c r="E208" s="999">
        <f>'Emission Factors'!$J$457*D208*0.001</f>
        <v>0</v>
      </c>
      <c r="F208" s="999">
        <f>'Emission Factors'!$K$457*D208*0.001</f>
        <v>0</v>
      </c>
      <c r="G208" s="688">
        <f>'Emission Factors'!$I$457*D208*0.001</f>
        <v>0</v>
      </c>
      <c r="H208" s="744">
        <f t="shared" si="25"/>
        <v>0</v>
      </c>
    </row>
    <row r="209" spans="1:11" x14ac:dyDescent="0.35">
      <c r="A209" s="692"/>
      <c r="B209" s="925"/>
      <c r="C209" s="925"/>
      <c r="D209" s="964">
        <f t="shared" si="24"/>
        <v>0</v>
      </c>
      <c r="E209" s="999">
        <f>'Emission Factors'!$J$457*D209*0.001</f>
        <v>0</v>
      </c>
      <c r="F209" s="999">
        <f>'Emission Factors'!$K$457*D209*0.001</f>
        <v>0</v>
      </c>
      <c r="G209" s="688">
        <f>'Emission Factors'!$I$457*D209*0.001</f>
        <v>0</v>
      </c>
      <c r="H209" s="744">
        <f t="shared" si="25"/>
        <v>0</v>
      </c>
    </row>
    <row r="210" spans="1:11" x14ac:dyDescent="0.35">
      <c r="A210" s="692"/>
      <c r="B210" s="925"/>
      <c r="C210" s="925"/>
      <c r="D210" s="964">
        <f t="shared" si="24"/>
        <v>0</v>
      </c>
      <c r="E210" s="999">
        <f>'Emission Factors'!$J$457*D210*0.001</f>
        <v>0</v>
      </c>
      <c r="F210" s="999">
        <f>'Emission Factors'!$K$457*D210*0.001</f>
        <v>0</v>
      </c>
      <c r="G210" s="688">
        <f>'Emission Factors'!$I$457*D210*0.001</f>
        <v>0</v>
      </c>
      <c r="H210" s="744">
        <f t="shared" si="25"/>
        <v>0</v>
      </c>
    </row>
    <row r="211" spans="1:11" x14ac:dyDescent="0.35">
      <c r="A211" s="692"/>
      <c r="B211" s="925"/>
      <c r="C211" s="925"/>
      <c r="D211" s="964">
        <f t="shared" si="24"/>
        <v>0</v>
      </c>
      <c r="E211" s="999">
        <f>'Emission Factors'!$J$457*D211*0.001</f>
        <v>0</v>
      </c>
      <c r="F211" s="999">
        <f>'Emission Factors'!$K$457*D211*0.001</f>
        <v>0</v>
      </c>
      <c r="G211" s="688">
        <f>'Emission Factors'!$I$457*D211*0.001</f>
        <v>0</v>
      </c>
      <c r="H211" s="744">
        <f t="shared" si="25"/>
        <v>0</v>
      </c>
    </row>
    <row r="212" spans="1:11" x14ac:dyDescent="0.35">
      <c r="A212" s="692"/>
      <c r="B212" s="925"/>
      <c r="C212" s="925"/>
      <c r="D212" s="964">
        <f t="shared" si="24"/>
        <v>0</v>
      </c>
      <c r="E212" s="999">
        <f>'Emission Factors'!$J$457*D212*0.001</f>
        <v>0</v>
      </c>
      <c r="F212" s="999">
        <f>'Emission Factors'!$K$457*D212*0.001</f>
        <v>0</v>
      </c>
      <c r="G212" s="688">
        <f>'Emission Factors'!$I$457*D212*0.001</f>
        <v>0</v>
      </c>
      <c r="H212" s="744">
        <f t="shared" si="25"/>
        <v>0</v>
      </c>
    </row>
    <row r="213" spans="1:11" x14ac:dyDescent="0.35">
      <c r="A213" s="692"/>
      <c r="B213" s="925"/>
      <c r="C213" s="925"/>
      <c r="D213" s="964">
        <f t="shared" si="24"/>
        <v>0</v>
      </c>
      <c r="E213" s="999">
        <f>'Emission Factors'!$J$457*D213*0.001</f>
        <v>0</v>
      </c>
      <c r="F213" s="999">
        <f>'Emission Factors'!$K$457*D213*0.001</f>
        <v>0</v>
      </c>
      <c r="G213" s="688">
        <f>'Emission Factors'!$I$457*D213*0.001</f>
        <v>0</v>
      </c>
      <c r="H213" s="744">
        <f t="shared" si="25"/>
        <v>0</v>
      </c>
    </row>
    <row r="214" spans="1:11" ht="16" thickBot="1" x14ac:dyDescent="0.4">
      <c r="A214" s="692"/>
      <c r="B214" s="925"/>
      <c r="C214" s="925"/>
      <c r="D214" s="964">
        <f t="shared" si="24"/>
        <v>0</v>
      </c>
      <c r="E214" s="999">
        <f>'Emission Factors'!$J$457*D214*0.001</f>
        <v>0</v>
      </c>
      <c r="F214" s="999">
        <f>'Emission Factors'!$K$457*D214*0.001</f>
        <v>0</v>
      </c>
      <c r="G214" s="688">
        <f>'Emission Factors'!$I$457*D214*0.001</f>
        <v>0</v>
      </c>
      <c r="H214" s="1001">
        <f t="shared" si="25"/>
        <v>0</v>
      </c>
    </row>
    <row r="215" spans="1:11" ht="16" thickBot="1" x14ac:dyDescent="0.4">
      <c r="A215" s="644" t="s">
        <v>843</v>
      </c>
      <c r="B215" s="652"/>
      <c r="C215" s="652"/>
      <c r="D215" s="644"/>
      <c r="E215" s="634"/>
      <c r="F215" s="634"/>
      <c r="G215" s="684" t="s">
        <v>1699</v>
      </c>
      <c r="H215" s="686">
        <f>SUM(H205:H214)</f>
        <v>0</v>
      </c>
      <c r="I215" s="634"/>
      <c r="J215" s="731"/>
    </row>
    <row r="216" spans="1:11" x14ac:dyDescent="0.35">
      <c r="A216" s="652"/>
      <c r="B216" s="652"/>
      <c r="C216" s="652"/>
      <c r="D216" s="644"/>
      <c r="E216" s="634"/>
      <c r="F216" s="634"/>
      <c r="G216" s="634"/>
      <c r="H216" s="634"/>
      <c r="I216" s="634"/>
      <c r="J216" s="731"/>
      <c r="K216" s="731"/>
    </row>
    <row r="217" spans="1:11" s="667" customFormat="1" ht="23.5" x14ac:dyDescent="0.55000000000000004">
      <c r="A217" s="1004"/>
      <c r="B217" s="1004"/>
      <c r="C217" s="1004"/>
      <c r="D217" s="1477" t="s">
        <v>330</v>
      </c>
      <c r="E217" s="1478"/>
      <c r="F217" s="851"/>
      <c r="G217" s="851"/>
      <c r="H217" s="851"/>
      <c r="I217" s="851"/>
      <c r="J217" s="836"/>
      <c r="K217" s="836"/>
    </row>
    <row r="218" spans="1:11" s="667" customFormat="1" ht="24" thickBot="1" x14ac:dyDescent="0.6">
      <c r="A218" s="1573" t="s">
        <v>844</v>
      </c>
      <c r="B218" s="1580"/>
      <c r="C218" s="1580"/>
      <c r="D218" s="1580"/>
      <c r="E218" s="1580"/>
      <c r="F218" s="1580"/>
      <c r="G218" s="1580"/>
      <c r="H218" s="1580"/>
      <c r="I218" s="1580"/>
      <c r="J218" s="1580"/>
      <c r="K218" s="1580"/>
    </row>
    <row r="219" spans="1:11" s="668" customFormat="1" ht="55.5" x14ac:dyDescent="0.45">
      <c r="A219" s="994" t="s">
        <v>836</v>
      </c>
      <c r="B219" s="994" t="s">
        <v>842</v>
      </c>
      <c r="C219" s="994" t="s">
        <v>838</v>
      </c>
      <c r="D219" s="995" t="s">
        <v>839</v>
      </c>
      <c r="E219" s="996" t="s">
        <v>1765</v>
      </c>
      <c r="F219" s="996" t="s">
        <v>1766</v>
      </c>
      <c r="G219" s="997" t="s">
        <v>1767</v>
      </c>
      <c r="H219" s="998" t="s">
        <v>580</v>
      </c>
      <c r="I219" s="807"/>
    </row>
    <row r="220" spans="1:11" x14ac:dyDescent="0.35">
      <c r="A220" s="692"/>
      <c r="B220" s="925"/>
      <c r="C220" s="925"/>
      <c r="D220" s="964">
        <f>SUM(B220*0.001)*C220</f>
        <v>0</v>
      </c>
      <c r="E220" s="999">
        <f>'Emission Factors'!$F$359*$D220*0.001</f>
        <v>0</v>
      </c>
      <c r="F220" s="999">
        <f>'Emission Factors'!$G$359*$D220*0.001</f>
        <v>0</v>
      </c>
      <c r="G220" s="999">
        <f>'Emission Factors'!$E$359*$D220*0.001</f>
        <v>0</v>
      </c>
      <c r="H220" s="744">
        <f>SUM(G220,F220,E220)</f>
        <v>0</v>
      </c>
    </row>
    <row r="221" spans="1:11" x14ac:dyDescent="0.35">
      <c r="A221" s="692"/>
      <c r="B221" s="925"/>
      <c r="C221" s="925"/>
      <c r="D221" s="964">
        <f t="shared" ref="D221:D230" si="26">SUM(B221*0.001)*C221</f>
        <v>0</v>
      </c>
      <c r="E221" s="999">
        <f>'Emission Factors'!$F$359*D221*0.001</f>
        <v>0</v>
      </c>
      <c r="F221" s="999">
        <f>'Emission Factors'!$G$359*$D221*0.001</f>
        <v>0</v>
      </c>
      <c r="G221" s="999">
        <f>'Emission Factors'!$E$359*$D221*0.001</f>
        <v>0</v>
      </c>
      <c r="H221" s="744">
        <f t="shared" ref="H221:H229" si="27">SUM(G221,F221,E221)</f>
        <v>0</v>
      </c>
    </row>
    <row r="222" spans="1:11" x14ac:dyDescent="0.35">
      <c r="A222" s="692"/>
      <c r="B222" s="925"/>
      <c r="C222" s="925"/>
      <c r="D222" s="964">
        <f t="shared" si="26"/>
        <v>0</v>
      </c>
      <c r="E222" s="999">
        <f>'Emission Factors'!$F$359*D222*0.001</f>
        <v>0</v>
      </c>
      <c r="F222" s="999">
        <f>'Emission Factors'!$G$359*$D222*0.001</f>
        <v>0</v>
      </c>
      <c r="G222" s="999">
        <f>'Emission Factors'!$E$359*$D222*0.001</f>
        <v>0</v>
      </c>
      <c r="H222" s="744">
        <f t="shared" si="27"/>
        <v>0</v>
      </c>
    </row>
    <row r="223" spans="1:11" x14ac:dyDescent="0.35">
      <c r="A223" s="692"/>
      <c r="B223" s="925"/>
      <c r="C223" s="925"/>
      <c r="D223" s="964">
        <f t="shared" si="26"/>
        <v>0</v>
      </c>
      <c r="E223" s="999">
        <f>'Emission Factors'!$F$359*D223*0.001</f>
        <v>0</v>
      </c>
      <c r="F223" s="999">
        <f>'Emission Factors'!$G$359*$D223*0.001</f>
        <v>0</v>
      </c>
      <c r="G223" s="999">
        <f>'Emission Factors'!$E$359*$D223*0.001</f>
        <v>0</v>
      </c>
      <c r="H223" s="744">
        <f t="shared" si="27"/>
        <v>0</v>
      </c>
    </row>
    <row r="224" spans="1:11" x14ac:dyDescent="0.35">
      <c r="A224" s="692"/>
      <c r="B224" s="925"/>
      <c r="C224" s="925"/>
      <c r="D224" s="964">
        <f t="shared" si="26"/>
        <v>0</v>
      </c>
      <c r="E224" s="999">
        <f>'Emission Factors'!$F$359*D224*0.001</f>
        <v>0</v>
      </c>
      <c r="F224" s="999">
        <f>'Emission Factors'!$G$359*$D224*0.001</f>
        <v>0</v>
      </c>
      <c r="G224" s="999">
        <f>'Emission Factors'!$E$359*$D224*0.001</f>
        <v>0</v>
      </c>
      <c r="H224" s="744">
        <f t="shared" si="27"/>
        <v>0</v>
      </c>
    </row>
    <row r="225" spans="1:11" x14ac:dyDescent="0.35">
      <c r="A225" s="692"/>
      <c r="B225" s="925"/>
      <c r="C225" s="925"/>
      <c r="D225" s="964">
        <f t="shared" si="26"/>
        <v>0</v>
      </c>
      <c r="E225" s="999">
        <f>'Emission Factors'!$F$359*D225*0.001</f>
        <v>0</v>
      </c>
      <c r="F225" s="999">
        <f>'Emission Factors'!$G$359*$D225*0.001</f>
        <v>0</v>
      </c>
      <c r="G225" s="999">
        <f>'Emission Factors'!$E$359*$D225*0.001</f>
        <v>0</v>
      </c>
      <c r="H225" s="744">
        <f t="shared" si="27"/>
        <v>0</v>
      </c>
    </row>
    <row r="226" spans="1:11" x14ac:dyDescent="0.35">
      <c r="A226" s="692"/>
      <c r="B226" s="925"/>
      <c r="C226" s="925"/>
      <c r="D226" s="964">
        <f t="shared" si="26"/>
        <v>0</v>
      </c>
      <c r="E226" s="999">
        <f>'Emission Factors'!$F$359*D226*0.001</f>
        <v>0</v>
      </c>
      <c r="F226" s="999">
        <f>'Emission Factors'!$G$359*$D226*0.001</f>
        <v>0</v>
      </c>
      <c r="G226" s="999">
        <f>'Emission Factors'!$E$359*$D226*0.001</f>
        <v>0</v>
      </c>
      <c r="H226" s="744">
        <f t="shared" si="27"/>
        <v>0</v>
      </c>
    </row>
    <row r="227" spans="1:11" x14ac:dyDescent="0.35">
      <c r="A227" s="692"/>
      <c r="B227" s="925"/>
      <c r="C227" s="925"/>
      <c r="D227" s="964">
        <f t="shared" si="26"/>
        <v>0</v>
      </c>
      <c r="E227" s="999">
        <f>'Emission Factors'!$F$359*D227*0.001</f>
        <v>0</v>
      </c>
      <c r="F227" s="999">
        <f>'Emission Factors'!$G$359*$D227*0.001</f>
        <v>0</v>
      </c>
      <c r="G227" s="999">
        <f>'Emission Factors'!$E$359*$D227*0.001</f>
        <v>0</v>
      </c>
      <c r="H227" s="744">
        <f t="shared" si="27"/>
        <v>0</v>
      </c>
    </row>
    <row r="228" spans="1:11" x14ac:dyDescent="0.35">
      <c r="A228" s="692"/>
      <c r="B228" s="925"/>
      <c r="C228" s="925"/>
      <c r="D228" s="964">
        <f t="shared" si="26"/>
        <v>0</v>
      </c>
      <c r="E228" s="999">
        <f>'Emission Factors'!$F$359*D228*0.001</f>
        <v>0</v>
      </c>
      <c r="F228" s="999">
        <f>'Emission Factors'!$G$359*$D228*0.001</f>
        <v>0</v>
      </c>
      <c r="G228" s="999">
        <f>'Emission Factors'!$E$359*$D228*0.001</f>
        <v>0</v>
      </c>
      <c r="H228" s="744">
        <f t="shared" si="27"/>
        <v>0</v>
      </c>
    </row>
    <row r="229" spans="1:11" x14ac:dyDescent="0.35">
      <c r="A229" s="692"/>
      <c r="B229" s="925"/>
      <c r="C229" s="925"/>
      <c r="D229" s="964">
        <f t="shared" si="26"/>
        <v>0</v>
      </c>
      <c r="E229" s="999">
        <f>'Emission Factors'!$F$359*D229*0.001</f>
        <v>0</v>
      </c>
      <c r="F229" s="999">
        <f>'Emission Factors'!$G$359*$D229*0.001</f>
        <v>0</v>
      </c>
      <c r="G229" s="999">
        <f>'Emission Factors'!$E$359*$D229*0.001</f>
        <v>0</v>
      </c>
      <c r="H229" s="1001">
        <f t="shared" si="27"/>
        <v>0</v>
      </c>
    </row>
    <row r="230" spans="1:11" ht="16" thickBot="1" x14ac:dyDescent="0.4">
      <c r="A230" s="692"/>
      <c r="B230" s="925"/>
      <c r="C230" s="925"/>
      <c r="D230" s="964">
        <f t="shared" si="26"/>
        <v>0</v>
      </c>
      <c r="E230" s="999">
        <f>'Emission Factors'!$F$359*D230*0.001</f>
        <v>0</v>
      </c>
      <c r="F230" s="999">
        <f>'Emission Factors'!$G$359*$D230*0.001</f>
        <v>0</v>
      </c>
      <c r="G230" s="999">
        <f>'Emission Factors'!$E$359*$D230*0.001</f>
        <v>0</v>
      </c>
      <c r="H230" s="744">
        <f>SUM(G230,F230,E230)</f>
        <v>0</v>
      </c>
    </row>
    <row r="231" spans="1:11" ht="16" thickBot="1" x14ac:dyDescent="0.4">
      <c r="A231" s="644" t="s">
        <v>845</v>
      </c>
      <c r="B231" s="652"/>
      <c r="C231" s="652"/>
      <c r="D231" s="644"/>
      <c r="E231" s="634"/>
      <c r="F231" s="634"/>
      <c r="G231" s="684" t="s">
        <v>1699</v>
      </c>
      <c r="H231" s="686">
        <f>SUM(H221:H230)</f>
        <v>0</v>
      </c>
      <c r="I231" s="634"/>
      <c r="J231" s="731"/>
    </row>
    <row r="232" spans="1:11" x14ac:dyDescent="0.35">
      <c r="A232" s="652"/>
      <c r="B232" s="652"/>
      <c r="C232" s="652"/>
      <c r="D232" s="644"/>
      <c r="E232" s="634"/>
      <c r="F232" s="634"/>
      <c r="G232" s="634"/>
      <c r="H232" s="634"/>
      <c r="I232" s="634"/>
      <c r="J232" s="731"/>
      <c r="K232" s="731"/>
    </row>
    <row r="233" spans="1:11" s="667" customFormat="1" ht="23.5" x14ac:dyDescent="0.55000000000000004">
      <c r="A233" s="1004"/>
      <c r="B233" s="1004"/>
      <c r="C233" s="1004"/>
      <c r="D233" s="1477" t="s">
        <v>330</v>
      </c>
      <c r="E233" s="1478"/>
      <c r="F233" s="851"/>
      <c r="G233" s="851"/>
      <c r="H233" s="851"/>
      <c r="I233" s="851"/>
      <c r="J233" s="836"/>
      <c r="K233" s="836"/>
    </row>
    <row r="234" spans="1:11" s="667" customFormat="1" ht="23.5" customHeight="1" thickBot="1" x14ac:dyDescent="0.6">
      <c r="A234" s="1573" t="s">
        <v>846</v>
      </c>
      <c r="B234" s="1580"/>
      <c r="C234" s="1580"/>
      <c r="D234" s="1580"/>
      <c r="E234" s="1580"/>
      <c r="F234" s="1580"/>
      <c r="G234" s="1580"/>
      <c r="H234" s="1580"/>
      <c r="I234" s="1580"/>
      <c r="J234" s="1580"/>
      <c r="K234" s="1580"/>
    </row>
    <row r="235" spans="1:11" s="668" customFormat="1" ht="55.5" x14ac:dyDescent="0.45">
      <c r="A235" s="994" t="s">
        <v>836</v>
      </c>
      <c r="B235" s="994" t="s">
        <v>842</v>
      </c>
      <c r="C235" s="994" t="s">
        <v>838</v>
      </c>
      <c r="D235" s="995" t="s">
        <v>839</v>
      </c>
      <c r="E235" s="996" t="s">
        <v>1765</v>
      </c>
      <c r="F235" s="996" t="s">
        <v>1766</v>
      </c>
      <c r="G235" s="997" t="s">
        <v>1767</v>
      </c>
      <c r="H235" s="998" t="s">
        <v>580</v>
      </c>
      <c r="I235" s="807"/>
    </row>
    <row r="236" spans="1:11" x14ac:dyDescent="0.35">
      <c r="A236" s="692"/>
      <c r="B236" s="925"/>
      <c r="C236" s="925"/>
      <c r="D236" s="964">
        <f>SUM(B236*0.001)*C236</f>
        <v>0</v>
      </c>
      <c r="E236" s="999">
        <f>'Emission Factors'!$F$464*$D236*0.001</f>
        <v>0</v>
      </c>
      <c r="F236" s="999">
        <f>'Emission Factors'!$G$464*$D236*0.001</f>
        <v>0</v>
      </c>
      <c r="G236" s="999">
        <f>'Emission Factors'!$E$464*$D236*0.001</f>
        <v>0</v>
      </c>
      <c r="H236" s="744">
        <f>SUM(G236,F236,E236)</f>
        <v>0</v>
      </c>
    </row>
    <row r="237" spans="1:11" x14ac:dyDescent="0.35">
      <c r="A237" s="692"/>
      <c r="B237" s="925"/>
      <c r="C237" s="925"/>
      <c r="D237" s="964">
        <f t="shared" ref="D237:D245" si="28">SUM(B237*0.001)*C237</f>
        <v>0</v>
      </c>
      <c r="E237" s="999">
        <f>'Emission Factors'!$F$464*$D237*0.001</f>
        <v>0</v>
      </c>
      <c r="F237" s="999">
        <f>'Emission Factors'!$G$464*$D237*0.001</f>
        <v>0</v>
      </c>
      <c r="G237" s="999">
        <f>'Emission Factors'!$E$464*$D237*0.001</f>
        <v>0</v>
      </c>
      <c r="H237" s="744">
        <f t="shared" ref="H237:H245" si="29">SUM(G237,F237,E237)</f>
        <v>0</v>
      </c>
    </row>
    <row r="238" spans="1:11" x14ac:dyDescent="0.35">
      <c r="A238" s="692"/>
      <c r="B238" s="925"/>
      <c r="C238" s="925"/>
      <c r="D238" s="964">
        <f t="shared" si="28"/>
        <v>0</v>
      </c>
      <c r="E238" s="999">
        <f>'Emission Factors'!$F$464*$D238*0.001</f>
        <v>0</v>
      </c>
      <c r="F238" s="999">
        <f>'Emission Factors'!$G$464*$D238*0.001</f>
        <v>0</v>
      </c>
      <c r="G238" s="999">
        <f>'Emission Factors'!$E$464*$D238*0.001</f>
        <v>0</v>
      </c>
      <c r="H238" s="744">
        <f t="shared" si="29"/>
        <v>0</v>
      </c>
    </row>
    <row r="239" spans="1:11" x14ac:dyDescent="0.35">
      <c r="A239" s="692"/>
      <c r="B239" s="925"/>
      <c r="C239" s="925"/>
      <c r="D239" s="964">
        <f t="shared" si="28"/>
        <v>0</v>
      </c>
      <c r="E239" s="999">
        <f>'Emission Factors'!$F$464*$D239*0.001</f>
        <v>0</v>
      </c>
      <c r="F239" s="999">
        <f>'Emission Factors'!$G$464*$D239*0.001</f>
        <v>0</v>
      </c>
      <c r="G239" s="999">
        <f>'Emission Factors'!$E$464*$D239*0.001</f>
        <v>0</v>
      </c>
      <c r="H239" s="744">
        <f t="shared" si="29"/>
        <v>0</v>
      </c>
    </row>
    <row r="240" spans="1:11" x14ac:dyDescent="0.35">
      <c r="A240" s="692"/>
      <c r="B240" s="925"/>
      <c r="C240" s="925"/>
      <c r="D240" s="964">
        <f t="shared" si="28"/>
        <v>0</v>
      </c>
      <c r="E240" s="999">
        <f>'Emission Factors'!$F$464*$D240*0.001</f>
        <v>0</v>
      </c>
      <c r="F240" s="999">
        <f>'Emission Factors'!$G$464*$D240*0.001</f>
        <v>0</v>
      </c>
      <c r="G240" s="999">
        <f>'Emission Factors'!$E$464*$D240*0.001</f>
        <v>0</v>
      </c>
      <c r="H240" s="744">
        <f t="shared" si="29"/>
        <v>0</v>
      </c>
    </row>
    <row r="241" spans="1:14" x14ac:dyDescent="0.35">
      <c r="A241" s="692"/>
      <c r="B241" s="925"/>
      <c r="C241" s="925"/>
      <c r="D241" s="964">
        <f t="shared" si="28"/>
        <v>0</v>
      </c>
      <c r="E241" s="999">
        <f>'Emission Factors'!$F$464*$D241*0.001</f>
        <v>0</v>
      </c>
      <c r="F241" s="999">
        <f>'Emission Factors'!$G$464*$D241*0.001</f>
        <v>0</v>
      </c>
      <c r="G241" s="999">
        <f>'Emission Factors'!$E$464*$D241*0.001</f>
        <v>0</v>
      </c>
      <c r="H241" s="744">
        <f t="shared" si="29"/>
        <v>0</v>
      </c>
    </row>
    <row r="242" spans="1:14" x14ac:dyDescent="0.35">
      <c r="A242" s="692"/>
      <c r="B242" s="925"/>
      <c r="C242" s="925"/>
      <c r="D242" s="964">
        <f t="shared" si="28"/>
        <v>0</v>
      </c>
      <c r="E242" s="999">
        <f>'Emission Factors'!$F$464*$D242*0.001</f>
        <v>0</v>
      </c>
      <c r="F242" s="999">
        <f>'Emission Factors'!$G$464*$D242*0.001</f>
        <v>0</v>
      </c>
      <c r="G242" s="999">
        <f>'Emission Factors'!$E$464*$D242*0.001</f>
        <v>0</v>
      </c>
      <c r="H242" s="744">
        <f t="shared" si="29"/>
        <v>0</v>
      </c>
    </row>
    <row r="243" spans="1:14" x14ac:dyDescent="0.35">
      <c r="A243" s="692"/>
      <c r="B243" s="925"/>
      <c r="C243" s="925"/>
      <c r="D243" s="964">
        <f t="shared" si="28"/>
        <v>0</v>
      </c>
      <c r="E243" s="999">
        <f>'Emission Factors'!$F$464*$D243*0.001</f>
        <v>0</v>
      </c>
      <c r="F243" s="999">
        <f>'Emission Factors'!$G$464*$D243*0.001</f>
        <v>0</v>
      </c>
      <c r="G243" s="999">
        <f>'Emission Factors'!$E$464*$D243*0.001</f>
        <v>0</v>
      </c>
      <c r="H243" s="744">
        <f t="shared" si="29"/>
        <v>0</v>
      </c>
    </row>
    <row r="244" spans="1:14" x14ac:dyDescent="0.35">
      <c r="A244" s="692"/>
      <c r="B244" s="925"/>
      <c r="C244" s="925"/>
      <c r="D244" s="964">
        <f t="shared" si="28"/>
        <v>0</v>
      </c>
      <c r="E244" s="999">
        <f>'Emission Factors'!$F$464*$D244*0.001</f>
        <v>0</v>
      </c>
      <c r="F244" s="999">
        <f>'Emission Factors'!$G$464*$D244*0.001</f>
        <v>0</v>
      </c>
      <c r="G244" s="999">
        <f>'Emission Factors'!$E$464*$D244*0.001</f>
        <v>0</v>
      </c>
      <c r="H244" s="744">
        <f t="shared" si="29"/>
        <v>0</v>
      </c>
    </row>
    <row r="245" spans="1:14" ht="16" thickBot="1" x14ac:dyDescent="0.4">
      <c r="A245" s="692"/>
      <c r="B245" s="925"/>
      <c r="C245" s="925"/>
      <c r="D245" s="964">
        <f t="shared" si="28"/>
        <v>0</v>
      </c>
      <c r="E245" s="999">
        <f>'Emission Factors'!$F$464*$D245*0.001</f>
        <v>0</v>
      </c>
      <c r="F245" s="999">
        <f>'Emission Factors'!$G$464*$D245*0.001</f>
        <v>0</v>
      </c>
      <c r="G245" s="999">
        <f>'Emission Factors'!$E$464*$D245*0.001</f>
        <v>0</v>
      </c>
      <c r="H245" s="1001">
        <f t="shared" si="29"/>
        <v>0</v>
      </c>
    </row>
    <row r="246" spans="1:14" ht="19" thickBot="1" x14ac:dyDescent="0.4">
      <c r="A246" s="1007" t="s">
        <v>847</v>
      </c>
      <c r="B246" s="652"/>
      <c r="C246" s="652"/>
      <c r="D246" s="644"/>
      <c r="E246" s="634"/>
      <c r="F246" s="634"/>
      <c r="G246" s="684" t="s">
        <v>1699</v>
      </c>
      <c r="H246" s="686">
        <f>SUM(H236:H245)</f>
        <v>0</v>
      </c>
      <c r="I246" s="634"/>
      <c r="J246" s="731"/>
      <c r="K246" s="731"/>
    </row>
    <row r="248" spans="1:14" s="667" customFormat="1" ht="23.5" x14ac:dyDescent="0.55000000000000004">
      <c r="A248" s="1578" t="s">
        <v>833</v>
      </c>
      <c r="B248" s="1579"/>
      <c r="C248" s="1579"/>
      <c r="D248" s="1579"/>
      <c r="E248" s="1579"/>
      <c r="F248" s="1579"/>
      <c r="G248" s="1579"/>
      <c r="H248" s="1579"/>
      <c r="I248" s="1579"/>
      <c r="J248" s="1579"/>
      <c r="K248" s="1579"/>
      <c r="L248" s="1579"/>
      <c r="M248" s="1579"/>
      <c r="N248" s="1579"/>
    </row>
    <row r="249" spans="1:14" s="668" customFormat="1" ht="24" thickBot="1" x14ac:dyDescent="0.6">
      <c r="A249" s="1011"/>
      <c r="B249" s="851"/>
      <c r="C249" s="851"/>
      <c r="D249" s="851"/>
      <c r="E249" s="1477" t="s">
        <v>330</v>
      </c>
      <c r="F249" s="1478"/>
      <c r="G249" s="851"/>
      <c r="H249" s="851"/>
      <c r="I249" s="851"/>
      <c r="J249" s="851"/>
      <c r="K249" s="836"/>
      <c r="L249" s="836"/>
      <c r="M249" s="667"/>
      <c r="N249" s="667"/>
    </row>
    <row r="250" spans="1:14" ht="55.5" x14ac:dyDescent="0.35">
      <c r="A250" s="615" t="s">
        <v>851</v>
      </c>
      <c r="B250" s="615" t="s">
        <v>854</v>
      </c>
      <c r="C250" s="977" t="s">
        <v>855</v>
      </c>
      <c r="D250" s="671" t="s">
        <v>1773</v>
      </c>
      <c r="E250" s="977" t="s">
        <v>856</v>
      </c>
      <c r="F250" s="671" t="s">
        <v>1771</v>
      </c>
      <c r="G250" s="977" t="s">
        <v>857</v>
      </c>
      <c r="H250" s="671" t="s">
        <v>858</v>
      </c>
      <c r="I250" s="1012" t="s">
        <v>859</v>
      </c>
    </row>
    <row r="251" spans="1:14" x14ac:dyDescent="0.35">
      <c r="A251" s="889"/>
      <c r="B251" s="840"/>
      <c r="C251" s="840"/>
      <c r="D251" s="688">
        <f>B251*C251*0.001</f>
        <v>0</v>
      </c>
      <c r="E251" s="692"/>
      <c r="F251" s="688">
        <f t="shared" ref="F251:F260" si="30">B251*E251*0.000001</f>
        <v>0</v>
      </c>
      <c r="G251" s="692"/>
      <c r="H251" s="688">
        <f>B251*G251*0.000001</f>
        <v>0</v>
      </c>
      <c r="I251" s="624">
        <f>D251+(F251*'Emission Factors'!$C$6)+(H251*'Emission Factors'!$C$7)</f>
        <v>0</v>
      </c>
    </row>
    <row r="252" spans="1:14" x14ac:dyDescent="0.35">
      <c r="A252" s="889"/>
      <c r="B252" s="840"/>
      <c r="C252" s="840"/>
      <c r="D252" s="688">
        <f t="shared" ref="D252:D260" si="31">B252*C252*0.001</f>
        <v>0</v>
      </c>
      <c r="E252" s="692"/>
      <c r="F252" s="688">
        <f t="shared" si="30"/>
        <v>0</v>
      </c>
      <c r="G252" s="692"/>
      <c r="H252" s="688">
        <f t="shared" ref="H252:H260" si="32">B252*G252</f>
        <v>0</v>
      </c>
      <c r="I252" s="624">
        <f>D252+(F252*'Emission Factors'!$C$6)+(H252*'Emission Factors'!$C$7)</f>
        <v>0</v>
      </c>
    </row>
    <row r="253" spans="1:14" x14ac:dyDescent="0.35">
      <c r="A253" s="889"/>
      <c r="B253" s="840"/>
      <c r="C253" s="840"/>
      <c r="D253" s="688">
        <f t="shared" si="31"/>
        <v>0</v>
      </c>
      <c r="E253" s="692"/>
      <c r="F253" s="688">
        <f t="shared" si="30"/>
        <v>0</v>
      </c>
      <c r="G253" s="692"/>
      <c r="H253" s="688">
        <f t="shared" si="32"/>
        <v>0</v>
      </c>
      <c r="I253" s="624">
        <f>D253+(F253*'Emission Factors'!$C$6)+(H253*'Emission Factors'!$C$7)</f>
        <v>0</v>
      </c>
    </row>
    <row r="254" spans="1:14" x14ac:dyDescent="0.35">
      <c r="A254" s="889"/>
      <c r="B254" s="840"/>
      <c r="C254" s="840"/>
      <c r="D254" s="688">
        <f t="shared" si="31"/>
        <v>0</v>
      </c>
      <c r="E254" s="692"/>
      <c r="F254" s="688">
        <f t="shared" si="30"/>
        <v>0</v>
      </c>
      <c r="G254" s="692"/>
      <c r="H254" s="688">
        <f t="shared" si="32"/>
        <v>0</v>
      </c>
      <c r="I254" s="624">
        <f>D254+(F254*'Emission Factors'!$C$6)+(H254*'Emission Factors'!$C$7)</f>
        <v>0</v>
      </c>
    </row>
    <row r="255" spans="1:14" x14ac:dyDescent="0.35">
      <c r="A255" s="889"/>
      <c r="B255" s="840"/>
      <c r="C255" s="840"/>
      <c r="D255" s="688">
        <f t="shared" si="31"/>
        <v>0</v>
      </c>
      <c r="E255" s="692"/>
      <c r="F255" s="688">
        <f t="shared" si="30"/>
        <v>0</v>
      </c>
      <c r="G255" s="692"/>
      <c r="H255" s="688">
        <f t="shared" si="32"/>
        <v>0</v>
      </c>
      <c r="I255" s="624">
        <f>D255+(F255*'Emission Factors'!$C$6)+(H255*'Emission Factors'!$C$7)</f>
        <v>0</v>
      </c>
    </row>
    <row r="256" spans="1:14" x14ac:dyDescent="0.35">
      <c r="A256" s="889"/>
      <c r="B256" s="840"/>
      <c r="C256" s="840"/>
      <c r="D256" s="688">
        <f t="shared" si="31"/>
        <v>0</v>
      </c>
      <c r="E256" s="692"/>
      <c r="F256" s="688">
        <f t="shared" si="30"/>
        <v>0</v>
      </c>
      <c r="G256" s="692"/>
      <c r="H256" s="688">
        <f t="shared" si="32"/>
        <v>0</v>
      </c>
      <c r="I256" s="624">
        <f>D256+(F256*'Emission Factors'!$C$6)+(H256*'Emission Factors'!$C$7)</f>
        <v>0</v>
      </c>
    </row>
    <row r="257" spans="1:9" x14ac:dyDescent="0.35">
      <c r="A257" s="889"/>
      <c r="B257" s="840"/>
      <c r="C257" s="840"/>
      <c r="D257" s="688">
        <f t="shared" si="31"/>
        <v>0</v>
      </c>
      <c r="E257" s="692"/>
      <c r="F257" s="688">
        <f t="shared" si="30"/>
        <v>0</v>
      </c>
      <c r="G257" s="692"/>
      <c r="H257" s="688">
        <f t="shared" si="32"/>
        <v>0</v>
      </c>
      <c r="I257" s="624">
        <f>D257+(F257*'Emission Factors'!$C$6)+(H257*'Emission Factors'!$C$7)</f>
        <v>0</v>
      </c>
    </row>
    <row r="258" spans="1:9" x14ac:dyDescent="0.35">
      <c r="A258" s="889"/>
      <c r="B258" s="840"/>
      <c r="C258" s="840"/>
      <c r="D258" s="688">
        <f t="shared" si="31"/>
        <v>0</v>
      </c>
      <c r="E258" s="692"/>
      <c r="F258" s="688">
        <f t="shared" si="30"/>
        <v>0</v>
      </c>
      <c r="G258" s="692"/>
      <c r="H258" s="688">
        <f t="shared" si="32"/>
        <v>0</v>
      </c>
      <c r="I258" s="624">
        <f>D258+(F258*'Emission Factors'!$C$6)+(H258*'Emission Factors'!$C$7)</f>
        <v>0</v>
      </c>
    </row>
    <row r="259" spans="1:9" x14ac:dyDescent="0.35">
      <c r="A259" s="889"/>
      <c r="B259" s="840"/>
      <c r="C259" s="840"/>
      <c r="D259" s="688">
        <f t="shared" si="31"/>
        <v>0</v>
      </c>
      <c r="E259" s="692"/>
      <c r="F259" s="688">
        <f t="shared" si="30"/>
        <v>0</v>
      </c>
      <c r="G259" s="692"/>
      <c r="H259" s="688">
        <f t="shared" si="32"/>
        <v>0</v>
      </c>
      <c r="I259" s="624">
        <f>D259+(F259*'Emission Factors'!$C$6)+(H259*'Emission Factors'!$C$7)</f>
        <v>0</v>
      </c>
    </row>
    <row r="260" spans="1:9" ht="16" thickBot="1" x14ac:dyDescent="0.4">
      <c r="A260" s="889"/>
      <c r="B260" s="840"/>
      <c r="C260" s="840"/>
      <c r="D260" s="688">
        <f t="shared" si="31"/>
        <v>0</v>
      </c>
      <c r="E260" s="692"/>
      <c r="F260" s="688">
        <f t="shared" si="30"/>
        <v>0</v>
      </c>
      <c r="G260" s="692"/>
      <c r="H260" s="688">
        <f t="shared" si="32"/>
        <v>0</v>
      </c>
      <c r="I260" s="624">
        <f>D260+(F260*'Emission Factors'!$C$6)+(H260*'Emission Factors'!$C$7)</f>
        <v>0</v>
      </c>
    </row>
    <row r="261" spans="1:9" ht="16" thickBot="1" x14ac:dyDescent="0.4">
      <c r="A261" s="617"/>
      <c r="C261" s="617"/>
      <c r="D261" s="634"/>
      <c r="H261" s="684" t="s">
        <v>1699</v>
      </c>
      <c r="I261" s="686">
        <f>SUM(I251:I260)</f>
        <v>0</v>
      </c>
    </row>
    <row r="564" spans="1:3" ht="45" customHeight="1" x14ac:dyDescent="0.35"/>
    <row r="565" spans="1:3" x14ac:dyDescent="0.35">
      <c r="A565" s="617"/>
      <c r="C565" s="617"/>
    </row>
  </sheetData>
  <sheetProtection algorithmName="SHA-512" hashValue="4HDKlVntTzl83r4vQBeHHynR4PocgU/uVH+34mHox6mrglfEzSN21Wz2iQb2XAxgDj9m47ZjNGhDSoSlpipcOg==" saltValue="lwKXZzB95Zzlut9bzweSJw==" spinCount="100000" sheet="1" objects="1" scenarios="1"/>
  <mergeCells count="40">
    <mergeCell ref="D170:E170"/>
    <mergeCell ref="A234:K234"/>
    <mergeCell ref="A248:N248"/>
    <mergeCell ref="A171:K171"/>
    <mergeCell ref="A186:N186"/>
    <mergeCell ref="D187:E187"/>
    <mergeCell ref="D202:E202"/>
    <mergeCell ref="A203:K203"/>
    <mergeCell ref="E249:F249"/>
    <mergeCell ref="A46:K46"/>
    <mergeCell ref="A62:K62"/>
    <mergeCell ref="A107:S107"/>
    <mergeCell ref="A109:B109"/>
    <mergeCell ref="A123:N123"/>
    <mergeCell ref="D124:E124"/>
    <mergeCell ref="A125:J125"/>
    <mergeCell ref="A188:J188"/>
    <mergeCell ref="D217:E217"/>
    <mergeCell ref="A218:K218"/>
    <mergeCell ref="D233:E233"/>
    <mergeCell ref="D139:E139"/>
    <mergeCell ref="A140:K140"/>
    <mergeCell ref="D154:E154"/>
    <mergeCell ref="A155:K155"/>
    <mergeCell ref="B1:E1"/>
    <mergeCell ref="F1:K1"/>
    <mergeCell ref="A79:K79"/>
    <mergeCell ref="A93:K93"/>
    <mergeCell ref="A31:K31"/>
    <mergeCell ref="D15:E15"/>
    <mergeCell ref="D30:E30"/>
    <mergeCell ref="D45:E45"/>
    <mergeCell ref="D61:E61"/>
    <mergeCell ref="D78:E78"/>
    <mergeCell ref="D92:E92"/>
    <mergeCell ref="A16:J16"/>
    <mergeCell ref="A76:N76"/>
    <mergeCell ref="A14:N14"/>
    <mergeCell ref="D4:H5"/>
    <mergeCell ref="D6:H7"/>
  </mergeCells>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A1:V549"/>
  <sheetViews>
    <sheetView zoomScale="60" zoomScaleNormal="60" workbookViewId="0">
      <selection activeCell="A9" sqref="A9:O9"/>
    </sheetView>
  </sheetViews>
  <sheetFormatPr baseColWidth="10" defaultColWidth="8.81640625" defaultRowHeight="14.5" x14ac:dyDescent="0.35"/>
  <cols>
    <col min="1" max="1" width="39.1796875" style="689" customWidth="1"/>
    <col min="2" max="2" width="16.54296875" style="689" bestFit="1" customWidth="1"/>
    <col min="3" max="3" width="16.54296875" style="1013" bestFit="1" customWidth="1"/>
    <col min="4" max="4" width="21" style="1014" bestFit="1" customWidth="1"/>
    <col min="5" max="5" width="16.453125" style="689" bestFit="1" customWidth="1"/>
    <col min="6" max="6" width="16.54296875" style="689" bestFit="1" customWidth="1"/>
    <col min="7" max="7" width="18" style="689" customWidth="1"/>
    <col min="8" max="8" width="26.7265625" style="689" bestFit="1" customWidth="1"/>
    <col min="9" max="9" width="14.54296875" style="689" bestFit="1" customWidth="1"/>
    <col min="10" max="10" width="22.1796875" style="689" customWidth="1"/>
    <col min="11" max="11" width="22.453125" style="689" bestFit="1" customWidth="1"/>
    <col min="12" max="12" width="24.453125" style="689" bestFit="1" customWidth="1"/>
    <col min="13" max="13" width="16.1796875" style="689" customWidth="1"/>
    <col min="14" max="14" width="19.54296875" style="689" bestFit="1" customWidth="1"/>
    <col min="15" max="15" width="24.453125" style="689" customWidth="1"/>
    <col min="16" max="16" width="30.1796875" style="689" bestFit="1" customWidth="1"/>
    <col min="17" max="17" width="15.453125" style="689" customWidth="1"/>
    <col min="18" max="18" width="16.453125" style="689" bestFit="1" customWidth="1"/>
    <col min="19" max="19" width="27.1796875" style="689" bestFit="1" customWidth="1"/>
    <col min="20" max="20" width="30.1796875" style="689" bestFit="1" customWidth="1"/>
    <col min="21" max="21" width="10.7265625" style="689" customWidth="1"/>
    <col min="22" max="22" width="18.1796875" style="753" customWidth="1"/>
    <col min="23" max="23" width="15.1796875" style="689" customWidth="1"/>
    <col min="24" max="24" width="12.7265625" style="689" customWidth="1"/>
    <col min="25" max="25" width="12.453125" style="689" customWidth="1"/>
    <col min="26" max="26" width="14.1796875" style="689" customWidth="1"/>
    <col min="27" max="16384" width="8.81640625" style="689"/>
  </cols>
  <sheetData>
    <row r="1" spans="1:22" ht="99" customHeight="1" thickBot="1" x14ac:dyDescent="0.4">
      <c r="A1" s="654" t="s">
        <v>860</v>
      </c>
      <c r="B1" s="1581" t="s">
        <v>1799</v>
      </c>
      <c r="C1" s="1582"/>
      <c r="D1" s="1582"/>
      <c r="E1" s="1582"/>
      <c r="F1" s="1582"/>
      <c r="G1" s="1583"/>
      <c r="K1" s="1471" t="s">
        <v>318</v>
      </c>
      <c r="L1" s="1472"/>
      <c r="M1" s="1472"/>
      <c r="N1" s="1472"/>
      <c r="O1" s="1472"/>
      <c r="P1" s="1473"/>
    </row>
    <row r="2" spans="1:22" x14ac:dyDescent="0.35">
      <c r="B2" s="763"/>
      <c r="I2" s="1015"/>
      <c r="J2" s="1016"/>
      <c r="K2" s="831" t="s">
        <v>319</v>
      </c>
      <c r="L2" s="832"/>
      <c r="M2" s="833" t="s">
        <v>320</v>
      </c>
      <c r="N2" s="834"/>
      <c r="O2" s="833" t="s">
        <v>321</v>
      </c>
      <c r="P2" s="835"/>
    </row>
    <row r="3" spans="1:22" ht="55.5" x14ac:dyDescent="0.35">
      <c r="B3" s="907" t="s">
        <v>861</v>
      </c>
      <c r="V3" s="689"/>
    </row>
    <row r="4" spans="1:22" ht="18.5" x14ac:dyDescent="0.35">
      <c r="A4" s="907" t="s">
        <v>438</v>
      </c>
      <c r="B4" s="811">
        <f>SUM(E12:E27)</f>
        <v>0</v>
      </c>
      <c r="E4" s="1017"/>
      <c r="V4" s="689"/>
    </row>
    <row r="5" spans="1:22" ht="37" x14ac:dyDescent="0.35">
      <c r="A5" s="907" t="s">
        <v>862</v>
      </c>
      <c r="B5" s="1018">
        <f>D71</f>
        <v>0</v>
      </c>
      <c r="V5" s="689"/>
    </row>
    <row r="6" spans="1:22" ht="37" x14ac:dyDescent="0.35">
      <c r="A6" s="907" t="s">
        <v>863</v>
      </c>
      <c r="B6" s="1018">
        <f>F71</f>
        <v>0</v>
      </c>
      <c r="V6" s="689"/>
    </row>
    <row r="7" spans="1:22" ht="37" x14ac:dyDescent="0.35">
      <c r="A7" s="907" t="s">
        <v>864</v>
      </c>
      <c r="B7" s="1018">
        <f>SUM(I71,L71,O71)</f>
        <v>0</v>
      </c>
      <c r="C7" s="1014"/>
      <c r="Q7" s="758"/>
      <c r="V7" s="689"/>
    </row>
    <row r="8" spans="1:22" ht="18.5" x14ac:dyDescent="0.35">
      <c r="A8" s="1019"/>
      <c r="B8" s="814"/>
      <c r="C8" s="1014"/>
      <c r="E8" s="1017"/>
      <c r="V8" s="689"/>
    </row>
    <row r="9" spans="1:22" s="664" customFormat="1" ht="36" x14ac:dyDescent="0.8">
      <c r="A9" s="1463" t="s">
        <v>438</v>
      </c>
      <c r="B9" s="1513"/>
      <c r="C9" s="1513"/>
      <c r="D9" s="1513"/>
      <c r="E9" s="1513"/>
      <c r="F9" s="1513"/>
      <c r="G9" s="1513"/>
      <c r="H9" s="1513"/>
      <c r="I9" s="1513"/>
      <c r="J9" s="1513"/>
      <c r="K9" s="1513"/>
      <c r="L9" s="1513"/>
      <c r="M9" s="1513"/>
      <c r="N9" s="1513"/>
      <c r="O9" s="1513"/>
      <c r="P9" s="667"/>
      <c r="Q9" s="667"/>
    </row>
    <row r="10" spans="1:22" s="667" customFormat="1" ht="23.5" customHeight="1" thickBot="1" x14ac:dyDescent="0.6">
      <c r="A10" s="617"/>
      <c r="B10" s="617"/>
      <c r="C10" s="617"/>
      <c r="D10" s="1484" t="s">
        <v>330</v>
      </c>
      <c r="E10" s="1485"/>
      <c r="G10" s="617"/>
      <c r="H10" s="617"/>
      <c r="I10" s="617"/>
      <c r="J10" s="617"/>
      <c r="K10" s="617"/>
      <c r="L10" s="617"/>
      <c r="M10" s="617"/>
      <c r="N10" s="617"/>
      <c r="O10" s="617"/>
      <c r="P10" s="617"/>
      <c r="Q10" s="617"/>
    </row>
    <row r="11" spans="1:22" s="753" customFormat="1" ht="48" customHeight="1" x14ac:dyDescent="0.35">
      <c r="A11" s="749" t="s">
        <v>331</v>
      </c>
      <c r="B11" s="750" t="s">
        <v>439</v>
      </c>
      <c r="C11" s="750" t="s">
        <v>440</v>
      </c>
      <c r="D11" s="751" t="s">
        <v>441</v>
      </c>
      <c r="E11" s="752" t="s">
        <v>442</v>
      </c>
      <c r="G11" s="754"/>
      <c r="H11" s="754"/>
      <c r="I11" s="754"/>
      <c r="J11" s="754"/>
    </row>
    <row r="12" spans="1:22" ht="15.5" x14ac:dyDescent="0.35">
      <c r="A12" s="755"/>
      <c r="B12" s="694"/>
      <c r="C12" s="756">
        <f>B12*0.001</f>
        <v>0</v>
      </c>
      <c r="D12" s="694">
        <v>3.7109999999999999</v>
      </c>
      <c r="E12" s="757">
        <f>(C12*D12*0.1949)*(21/1000)</f>
        <v>0</v>
      </c>
      <c r="G12" s="758"/>
      <c r="H12" s="758"/>
      <c r="I12" s="758"/>
      <c r="J12" s="758"/>
      <c r="V12" s="689"/>
    </row>
    <row r="13" spans="1:22" ht="15.5" x14ac:dyDescent="0.35">
      <c r="A13" s="755"/>
      <c r="B13" s="694"/>
      <c r="C13" s="756">
        <f t="shared" ref="C13:C27" si="0">B13*0.001</f>
        <v>0</v>
      </c>
      <c r="D13" s="694">
        <v>3.7109999999999999</v>
      </c>
      <c r="E13" s="757">
        <f t="shared" ref="E13:E27" si="1">(C13*D13*0.1949)*(21/1000)</f>
        <v>0</v>
      </c>
      <c r="V13" s="689"/>
    </row>
    <row r="14" spans="1:22" ht="15.5" x14ac:dyDescent="0.35">
      <c r="A14" s="755"/>
      <c r="B14" s="694"/>
      <c r="C14" s="756">
        <f t="shared" si="0"/>
        <v>0</v>
      </c>
      <c r="D14" s="694">
        <v>3.7109999999999999</v>
      </c>
      <c r="E14" s="757">
        <f t="shared" si="1"/>
        <v>0</v>
      </c>
      <c r="V14" s="689"/>
    </row>
    <row r="15" spans="1:22" ht="15.5" x14ac:dyDescent="0.35">
      <c r="A15" s="755"/>
      <c r="B15" s="694"/>
      <c r="C15" s="756">
        <f t="shared" si="0"/>
        <v>0</v>
      </c>
      <c r="D15" s="694">
        <v>3.7109999999999999</v>
      </c>
      <c r="E15" s="757">
        <f t="shared" si="1"/>
        <v>0</v>
      </c>
      <c r="V15" s="689"/>
    </row>
    <row r="16" spans="1:22" ht="15.5" x14ac:dyDescent="0.35">
      <c r="A16" s="755"/>
      <c r="B16" s="694"/>
      <c r="C16" s="756">
        <f t="shared" si="0"/>
        <v>0</v>
      </c>
      <c r="D16" s="694">
        <v>3.7109999999999999</v>
      </c>
      <c r="E16" s="757">
        <f t="shared" si="1"/>
        <v>0</v>
      </c>
      <c r="V16" s="689"/>
    </row>
    <row r="17" spans="1:15" s="689" customFormat="1" ht="15.5" x14ac:dyDescent="0.35">
      <c r="A17" s="759"/>
      <c r="B17" s="694"/>
      <c r="C17" s="756">
        <f t="shared" si="0"/>
        <v>0</v>
      </c>
      <c r="D17" s="694">
        <v>3.7109999999999999</v>
      </c>
      <c r="E17" s="757">
        <f t="shared" si="1"/>
        <v>0</v>
      </c>
    </row>
    <row r="18" spans="1:15" s="689" customFormat="1" ht="15.5" x14ac:dyDescent="0.35">
      <c r="A18" s="760"/>
      <c r="B18" s="694"/>
      <c r="C18" s="756">
        <f t="shared" si="0"/>
        <v>0</v>
      </c>
      <c r="D18" s="694">
        <v>3.7109999999999999</v>
      </c>
      <c r="E18" s="757">
        <f t="shared" si="1"/>
        <v>0</v>
      </c>
    </row>
    <row r="19" spans="1:15" s="689" customFormat="1" ht="15.5" x14ac:dyDescent="0.35">
      <c r="A19" s="759"/>
      <c r="B19" s="694"/>
      <c r="C19" s="756">
        <f t="shared" si="0"/>
        <v>0</v>
      </c>
      <c r="D19" s="694">
        <v>3.7109999999999999</v>
      </c>
      <c r="E19" s="757">
        <f t="shared" si="1"/>
        <v>0</v>
      </c>
    </row>
    <row r="20" spans="1:15" s="689" customFormat="1" ht="15.5" x14ac:dyDescent="0.35">
      <c r="A20" s="759"/>
      <c r="B20" s="694"/>
      <c r="C20" s="756">
        <f t="shared" si="0"/>
        <v>0</v>
      </c>
      <c r="D20" s="694">
        <v>3.7109999999999999</v>
      </c>
      <c r="E20" s="757">
        <f t="shared" si="1"/>
        <v>0</v>
      </c>
    </row>
    <row r="21" spans="1:15" s="689" customFormat="1" ht="15.5" x14ac:dyDescent="0.35">
      <c r="A21" s="759"/>
      <c r="B21" s="694"/>
      <c r="C21" s="756">
        <f t="shared" si="0"/>
        <v>0</v>
      </c>
      <c r="D21" s="694">
        <v>3.7109999999999999</v>
      </c>
      <c r="E21" s="757">
        <f t="shared" si="1"/>
        <v>0</v>
      </c>
    </row>
    <row r="22" spans="1:15" s="689" customFormat="1" ht="15.5" x14ac:dyDescent="0.35">
      <c r="A22" s="759"/>
      <c r="B22" s="694"/>
      <c r="C22" s="756">
        <f t="shared" si="0"/>
        <v>0</v>
      </c>
      <c r="D22" s="694">
        <v>3.7109999999999999</v>
      </c>
      <c r="E22" s="757">
        <f t="shared" si="1"/>
        <v>0</v>
      </c>
    </row>
    <row r="23" spans="1:15" s="689" customFormat="1" ht="15.5" x14ac:dyDescent="0.35">
      <c r="A23" s="759"/>
      <c r="B23" s="694"/>
      <c r="C23" s="756">
        <f t="shared" si="0"/>
        <v>0</v>
      </c>
      <c r="D23" s="694">
        <v>3.7109999999999999</v>
      </c>
      <c r="E23" s="757">
        <f t="shared" si="1"/>
        <v>0</v>
      </c>
    </row>
    <row r="24" spans="1:15" s="689" customFormat="1" ht="15.5" x14ac:dyDescent="0.35">
      <c r="A24" s="759"/>
      <c r="B24" s="694"/>
      <c r="C24" s="756">
        <f t="shared" si="0"/>
        <v>0</v>
      </c>
      <c r="D24" s="694">
        <v>3.7109999999999999</v>
      </c>
      <c r="E24" s="757">
        <f t="shared" si="1"/>
        <v>0</v>
      </c>
    </row>
    <row r="25" spans="1:15" s="689" customFormat="1" ht="15.5" x14ac:dyDescent="0.35">
      <c r="A25" s="759"/>
      <c r="B25" s="694"/>
      <c r="C25" s="756">
        <f t="shared" si="0"/>
        <v>0</v>
      </c>
      <c r="D25" s="694">
        <v>3.7109999999999999</v>
      </c>
      <c r="E25" s="757">
        <f t="shared" si="1"/>
        <v>0</v>
      </c>
    </row>
    <row r="26" spans="1:15" s="689" customFormat="1" ht="15.5" x14ac:dyDescent="0.35">
      <c r="A26" s="759"/>
      <c r="B26" s="694"/>
      <c r="C26" s="756">
        <f t="shared" si="0"/>
        <v>0</v>
      </c>
      <c r="D26" s="694">
        <v>3.7109999999999999</v>
      </c>
      <c r="E26" s="757">
        <f t="shared" si="1"/>
        <v>0</v>
      </c>
    </row>
    <row r="27" spans="1:15" s="689" customFormat="1" ht="16" thickBot="1" x14ac:dyDescent="0.4">
      <c r="A27" s="761"/>
      <c r="B27" s="694"/>
      <c r="C27" s="756">
        <f t="shared" si="0"/>
        <v>0</v>
      </c>
      <c r="D27" s="694">
        <v>3.7109999999999999</v>
      </c>
      <c r="E27" s="762">
        <f t="shared" si="1"/>
        <v>0</v>
      </c>
    </row>
    <row r="28" spans="1:15" s="689" customFormat="1" x14ac:dyDescent="0.35">
      <c r="A28" s="763" t="s">
        <v>443</v>
      </c>
    </row>
    <row r="29" spans="1:15" s="689" customFormat="1" x14ac:dyDescent="0.35">
      <c r="A29" s="763"/>
    </row>
    <row r="30" spans="1:15" s="689" customFormat="1" x14ac:dyDescent="0.35">
      <c r="A30" s="763"/>
    </row>
    <row r="31" spans="1:15" s="689" customFormat="1" ht="36" x14ac:dyDescent="0.8">
      <c r="A31" s="1463" t="s">
        <v>107</v>
      </c>
      <c r="B31" s="1513"/>
      <c r="C31" s="1513"/>
      <c r="D31" s="1513"/>
      <c r="E31" s="1513"/>
      <c r="F31" s="1513"/>
      <c r="G31" s="1513"/>
      <c r="H31" s="1513"/>
      <c r="I31" s="1513"/>
      <c r="J31" s="1513"/>
      <c r="K31" s="1513"/>
      <c r="L31" s="1513"/>
      <c r="M31" s="1513"/>
      <c r="N31" s="1513"/>
      <c r="O31" s="1513"/>
    </row>
    <row r="32" spans="1:15" s="667" customFormat="1" ht="26.25" customHeight="1" thickBot="1" x14ac:dyDescent="0.6">
      <c r="A32" s="648"/>
      <c r="C32" s="764"/>
      <c r="D32" s="1482" t="s">
        <v>330</v>
      </c>
      <c r="E32" s="1483"/>
    </row>
    <row r="33" spans="1:15" s="689" customFormat="1" ht="53.15" customHeight="1" x14ac:dyDescent="0.35">
      <c r="B33" s="1508" t="s">
        <v>865</v>
      </c>
      <c r="C33" s="1509"/>
      <c r="D33" s="1510"/>
      <c r="E33" s="1506" t="s">
        <v>866</v>
      </c>
      <c r="F33" s="1507"/>
      <c r="G33" s="1508" t="s">
        <v>867</v>
      </c>
      <c r="H33" s="1509"/>
      <c r="I33" s="1510"/>
      <c r="J33" s="1506" t="s">
        <v>868</v>
      </c>
      <c r="K33" s="1511"/>
      <c r="L33" s="1507"/>
      <c r="M33" s="1508" t="s">
        <v>869</v>
      </c>
      <c r="N33" s="1509"/>
      <c r="O33" s="1510"/>
    </row>
    <row r="34" spans="1:15" s="689" customFormat="1" ht="111" x14ac:dyDescent="0.35">
      <c r="A34" s="765" t="s">
        <v>331</v>
      </c>
      <c r="B34" s="766" t="s">
        <v>870</v>
      </c>
      <c r="C34" s="615" t="s">
        <v>871</v>
      </c>
      <c r="D34" s="767" t="s">
        <v>872</v>
      </c>
      <c r="E34" s="615" t="s">
        <v>873</v>
      </c>
      <c r="F34" s="768" t="s">
        <v>874</v>
      </c>
      <c r="G34" s="769" t="s">
        <v>875</v>
      </c>
      <c r="H34" s="770" t="s">
        <v>876</v>
      </c>
      <c r="I34" s="771" t="s">
        <v>877</v>
      </c>
      <c r="J34" s="769" t="s">
        <v>875</v>
      </c>
      <c r="K34" s="770" t="s">
        <v>876</v>
      </c>
      <c r="L34" s="771" t="s">
        <v>878</v>
      </c>
      <c r="M34" s="769" t="s">
        <v>875</v>
      </c>
      <c r="N34" s="770" t="s">
        <v>876</v>
      </c>
      <c r="O34" s="771" t="s">
        <v>879</v>
      </c>
    </row>
    <row r="35" spans="1:15" s="689" customFormat="1" x14ac:dyDescent="0.35">
      <c r="A35" s="772"/>
      <c r="B35" s="773"/>
      <c r="C35" s="774">
        <f>B35/1000</f>
        <v>0</v>
      </c>
      <c r="D35" s="775">
        <f>C35*1.10231*'Emission Factors'!$B$659</f>
        <v>0</v>
      </c>
      <c r="E35" s="773"/>
      <c r="F35" s="776">
        <f>E35*'Emission Factors'!$B$651/1000</f>
        <v>0</v>
      </c>
      <c r="G35" s="773"/>
      <c r="H35" s="777">
        <f>G35*0.001</f>
        <v>0</v>
      </c>
      <c r="I35" s="776">
        <f>H35*'Emission Factors'!$B$633</f>
        <v>0</v>
      </c>
      <c r="J35" s="773"/>
      <c r="K35" s="777">
        <f>J35*0.001</f>
        <v>0</v>
      </c>
      <c r="L35" s="776">
        <f>K35*'Emission Factors'!$B$634</f>
        <v>0</v>
      </c>
      <c r="M35" s="773"/>
      <c r="N35" s="777">
        <f>M35*0.001</f>
        <v>0</v>
      </c>
      <c r="O35" s="776">
        <f>N35*'Emission Factors'!$B$635</f>
        <v>0</v>
      </c>
    </row>
    <row r="36" spans="1:15" s="689" customFormat="1" x14ac:dyDescent="0.35">
      <c r="A36" s="772"/>
      <c r="B36" s="773"/>
      <c r="C36" s="774">
        <f t="shared" ref="C36:C70" si="2">B36/1000</f>
        <v>0</v>
      </c>
      <c r="D36" s="775">
        <f>C36*1.10231*'Emission Factors'!$B$659</f>
        <v>0</v>
      </c>
      <c r="E36" s="773"/>
      <c r="F36" s="776">
        <f>E36*'Emission Factors'!$B$651/1000</f>
        <v>0</v>
      </c>
      <c r="G36" s="773"/>
      <c r="H36" s="777">
        <f t="shared" ref="H36:H70" si="3">G36*0.001</f>
        <v>0</v>
      </c>
      <c r="I36" s="776">
        <f>H36*'Emission Factors'!$B$633</f>
        <v>0</v>
      </c>
      <c r="J36" s="773"/>
      <c r="K36" s="777">
        <f t="shared" ref="K36:K70" si="4">J36*0.001</f>
        <v>0</v>
      </c>
      <c r="L36" s="776">
        <f>K36*'Emission Factors'!$B$634</f>
        <v>0</v>
      </c>
      <c r="M36" s="773"/>
      <c r="N36" s="777">
        <f t="shared" ref="N36:N70" si="5">M36*0.001</f>
        <v>0</v>
      </c>
      <c r="O36" s="776">
        <f>N36*'Emission Factors'!$B$635</f>
        <v>0</v>
      </c>
    </row>
    <row r="37" spans="1:15" s="689" customFormat="1" x14ac:dyDescent="0.35">
      <c r="A37" s="772"/>
      <c r="B37" s="773"/>
      <c r="C37" s="774">
        <f t="shared" si="2"/>
        <v>0</v>
      </c>
      <c r="D37" s="775">
        <f>C37*1.10231*'Emission Factors'!$B$659</f>
        <v>0</v>
      </c>
      <c r="E37" s="773"/>
      <c r="F37" s="776">
        <f>E37*'Emission Factors'!$B$651/1000</f>
        <v>0</v>
      </c>
      <c r="G37" s="773"/>
      <c r="H37" s="777">
        <f t="shared" si="3"/>
        <v>0</v>
      </c>
      <c r="I37" s="776">
        <f>H37*'Emission Factors'!$B$633</f>
        <v>0</v>
      </c>
      <c r="J37" s="773"/>
      <c r="K37" s="777">
        <f t="shared" si="4"/>
        <v>0</v>
      </c>
      <c r="L37" s="776">
        <f>K37*'Emission Factors'!$B$634</f>
        <v>0</v>
      </c>
      <c r="M37" s="773"/>
      <c r="N37" s="777">
        <f t="shared" si="5"/>
        <v>0</v>
      </c>
      <c r="O37" s="776">
        <f>N37*'Emission Factors'!$B$635</f>
        <v>0</v>
      </c>
    </row>
    <row r="38" spans="1:15" s="689" customFormat="1" x14ac:dyDescent="0.35">
      <c r="A38" s="772"/>
      <c r="B38" s="773"/>
      <c r="C38" s="774">
        <f t="shared" si="2"/>
        <v>0</v>
      </c>
      <c r="D38" s="775">
        <f>C38*1.10231*'Emission Factors'!$B$659</f>
        <v>0</v>
      </c>
      <c r="E38" s="773"/>
      <c r="F38" s="776">
        <f>E38*'Emission Factors'!$B$651/1000</f>
        <v>0</v>
      </c>
      <c r="G38" s="773"/>
      <c r="H38" s="777">
        <f t="shared" si="3"/>
        <v>0</v>
      </c>
      <c r="I38" s="776">
        <f>H38*'Emission Factors'!$B$633</f>
        <v>0</v>
      </c>
      <c r="J38" s="773"/>
      <c r="K38" s="777">
        <f t="shared" si="4"/>
        <v>0</v>
      </c>
      <c r="L38" s="776">
        <f>K38*'Emission Factors'!$B$634</f>
        <v>0</v>
      </c>
      <c r="M38" s="773"/>
      <c r="N38" s="777">
        <f t="shared" si="5"/>
        <v>0</v>
      </c>
      <c r="O38" s="776">
        <f>N38*'Emission Factors'!$B$635</f>
        <v>0</v>
      </c>
    </row>
    <row r="39" spans="1:15" s="689" customFormat="1" x14ac:dyDescent="0.35">
      <c r="A39" s="772"/>
      <c r="B39" s="773"/>
      <c r="C39" s="774">
        <f t="shared" si="2"/>
        <v>0</v>
      </c>
      <c r="D39" s="775">
        <f>C39*1.10231*'Emission Factors'!$B$659</f>
        <v>0</v>
      </c>
      <c r="E39" s="773"/>
      <c r="F39" s="776">
        <f>E39*'Emission Factors'!$B$651/1000</f>
        <v>0</v>
      </c>
      <c r="G39" s="773"/>
      <c r="H39" s="777">
        <f t="shared" si="3"/>
        <v>0</v>
      </c>
      <c r="I39" s="776">
        <f>H39*'Emission Factors'!$B$633</f>
        <v>0</v>
      </c>
      <c r="J39" s="773"/>
      <c r="K39" s="777">
        <f t="shared" si="4"/>
        <v>0</v>
      </c>
      <c r="L39" s="776">
        <f>K39*'Emission Factors'!$B$634</f>
        <v>0</v>
      </c>
      <c r="M39" s="773"/>
      <c r="N39" s="777">
        <f t="shared" si="5"/>
        <v>0</v>
      </c>
      <c r="O39" s="776">
        <f>N39*'Emission Factors'!$B$635</f>
        <v>0</v>
      </c>
    </row>
    <row r="40" spans="1:15" s="689" customFormat="1" x14ac:dyDescent="0.35">
      <c r="A40" s="772"/>
      <c r="B40" s="773"/>
      <c r="C40" s="774">
        <f t="shared" si="2"/>
        <v>0</v>
      </c>
      <c r="D40" s="775">
        <f>C40*1.10231*'Emission Factors'!$B$659</f>
        <v>0</v>
      </c>
      <c r="E40" s="773"/>
      <c r="F40" s="776">
        <f>E40*'Emission Factors'!$B$651/1000</f>
        <v>0</v>
      </c>
      <c r="G40" s="773"/>
      <c r="H40" s="777">
        <f t="shared" si="3"/>
        <v>0</v>
      </c>
      <c r="I40" s="776">
        <f>H40*'Emission Factors'!$B$633</f>
        <v>0</v>
      </c>
      <c r="J40" s="773"/>
      <c r="K40" s="777">
        <f t="shared" si="4"/>
        <v>0</v>
      </c>
      <c r="L40" s="776">
        <f>K40*'Emission Factors'!$B$634</f>
        <v>0</v>
      </c>
      <c r="M40" s="773"/>
      <c r="N40" s="777">
        <f t="shared" si="5"/>
        <v>0</v>
      </c>
      <c r="O40" s="776">
        <f>N40*'Emission Factors'!$B$635</f>
        <v>0</v>
      </c>
    </row>
    <row r="41" spans="1:15" s="689" customFormat="1" x14ac:dyDescent="0.35">
      <c r="A41" s="772"/>
      <c r="B41" s="773"/>
      <c r="C41" s="774">
        <f t="shared" si="2"/>
        <v>0</v>
      </c>
      <c r="D41" s="775">
        <f>C41*1.10231*'Emission Factors'!$B$659</f>
        <v>0</v>
      </c>
      <c r="E41" s="773"/>
      <c r="F41" s="776">
        <f>E41*'Emission Factors'!$B$651/1000</f>
        <v>0</v>
      </c>
      <c r="G41" s="773"/>
      <c r="H41" s="777">
        <f t="shared" si="3"/>
        <v>0</v>
      </c>
      <c r="I41" s="776">
        <f>H41*'Emission Factors'!$B$633</f>
        <v>0</v>
      </c>
      <c r="J41" s="773"/>
      <c r="K41" s="777">
        <f t="shared" si="4"/>
        <v>0</v>
      </c>
      <c r="L41" s="776">
        <f>K41*'Emission Factors'!$B$634</f>
        <v>0</v>
      </c>
      <c r="M41" s="773"/>
      <c r="N41" s="777">
        <f t="shared" si="5"/>
        <v>0</v>
      </c>
      <c r="O41" s="776">
        <f>N41*'Emission Factors'!$B$635</f>
        <v>0</v>
      </c>
    </row>
    <row r="42" spans="1:15" s="689" customFormat="1" x14ac:dyDescent="0.35">
      <c r="A42" s="772"/>
      <c r="B42" s="773"/>
      <c r="C42" s="774">
        <f t="shared" si="2"/>
        <v>0</v>
      </c>
      <c r="D42" s="775">
        <f>C42*1.10231*'Emission Factors'!$B$659</f>
        <v>0</v>
      </c>
      <c r="E42" s="773"/>
      <c r="F42" s="776">
        <f>E42*'Emission Factors'!$B$651/1000</f>
        <v>0</v>
      </c>
      <c r="G42" s="773"/>
      <c r="H42" s="777">
        <f t="shared" si="3"/>
        <v>0</v>
      </c>
      <c r="I42" s="776">
        <f>H42*'Emission Factors'!$B$633</f>
        <v>0</v>
      </c>
      <c r="J42" s="773"/>
      <c r="K42" s="777">
        <f t="shared" si="4"/>
        <v>0</v>
      </c>
      <c r="L42" s="776">
        <f>K42*'Emission Factors'!$B$634</f>
        <v>0</v>
      </c>
      <c r="M42" s="773"/>
      <c r="N42" s="777">
        <f t="shared" si="5"/>
        <v>0</v>
      </c>
      <c r="O42" s="776">
        <f>N42*'Emission Factors'!$B$635</f>
        <v>0</v>
      </c>
    </row>
    <row r="43" spans="1:15" s="689" customFormat="1" x14ac:dyDescent="0.35">
      <c r="A43" s="772"/>
      <c r="B43" s="773"/>
      <c r="C43" s="774">
        <f t="shared" si="2"/>
        <v>0</v>
      </c>
      <c r="D43" s="775">
        <f>C43*1.10231*'Emission Factors'!$B$659</f>
        <v>0</v>
      </c>
      <c r="E43" s="773"/>
      <c r="F43" s="776">
        <f>E43*'Emission Factors'!$B$651/1000</f>
        <v>0</v>
      </c>
      <c r="G43" s="773"/>
      <c r="H43" s="777">
        <f t="shared" si="3"/>
        <v>0</v>
      </c>
      <c r="I43" s="776">
        <f>H43*'Emission Factors'!$B$633</f>
        <v>0</v>
      </c>
      <c r="J43" s="773"/>
      <c r="K43" s="777">
        <f t="shared" si="4"/>
        <v>0</v>
      </c>
      <c r="L43" s="776">
        <f>K43*'Emission Factors'!$B$634</f>
        <v>0</v>
      </c>
      <c r="M43" s="773"/>
      <c r="N43" s="777">
        <f t="shared" si="5"/>
        <v>0</v>
      </c>
      <c r="O43" s="776">
        <f>N43*'Emission Factors'!$B$635</f>
        <v>0</v>
      </c>
    </row>
    <row r="44" spans="1:15" s="689" customFormat="1" x14ac:dyDescent="0.35">
      <c r="A44" s="772"/>
      <c r="B44" s="773"/>
      <c r="C44" s="774">
        <f t="shared" si="2"/>
        <v>0</v>
      </c>
      <c r="D44" s="775">
        <f>C44*1.10231*'Emission Factors'!$B$659</f>
        <v>0</v>
      </c>
      <c r="E44" s="773"/>
      <c r="F44" s="776">
        <f>E44*'Emission Factors'!$B$651/1000</f>
        <v>0</v>
      </c>
      <c r="G44" s="773"/>
      <c r="H44" s="777">
        <f t="shared" si="3"/>
        <v>0</v>
      </c>
      <c r="I44" s="776">
        <f>H44*'Emission Factors'!$B$633</f>
        <v>0</v>
      </c>
      <c r="J44" s="773"/>
      <c r="K44" s="777">
        <f t="shared" si="4"/>
        <v>0</v>
      </c>
      <c r="L44" s="776">
        <f>K44*'Emission Factors'!$B$634</f>
        <v>0</v>
      </c>
      <c r="M44" s="773"/>
      <c r="N44" s="777">
        <f t="shared" si="5"/>
        <v>0</v>
      </c>
      <c r="O44" s="776">
        <f>N44*'Emission Factors'!$B$635</f>
        <v>0</v>
      </c>
    </row>
    <row r="45" spans="1:15" s="689" customFormat="1" x14ac:dyDescent="0.35">
      <c r="A45" s="772"/>
      <c r="B45" s="773"/>
      <c r="C45" s="774">
        <f t="shared" si="2"/>
        <v>0</v>
      </c>
      <c r="D45" s="775">
        <f>C45*1.10231*'Emission Factors'!$B$659</f>
        <v>0</v>
      </c>
      <c r="E45" s="773"/>
      <c r="F45" s="776">
        <f>E45*'Emission Factors'!$B$651/1000</f>
        <v>0</v>
      </c>
      <c r="G45" s="773"/>
      <c r="H45" s="777">
        <f t="shared" si="3"/>
        <v>0</v>
      </c>
      <c r="I45" s="776">
        <f>H45*'Emission Factors'!$B$633</f>
        <v>0</v>
      </c>
      <c r="J45" s="773"/>
      <c r="K45" s="777">
        <f t="shared" si="4"/>
        <v>0</v>
      </c>
      <c r="L45" s="776">
        <f>K45*'Emission Factors'!$B$634</f>
        <v>0</v>
      </c>
      <c r="M45" s="773"/>
      <c r="N45" s="777">
        <f t="shared" si="5"/>
        <v>0</v>
      </c>
      <c r="O45" s="776">
        <f>N45*'Emission Factors'!$B$635</f>
        <v>0</v>
      </c>
    </row>
    <row r="46" spans="1:15" s="689" customFormat="1" x14ac:dyDescent="0.35">
      <c r="A46" s="772"/>
      <c r="B46" s="773"/>
      <c r="C46" s="774">
        <f t="shared" si="2"/>
        <v>0</v>
      </c>
      <c r="D46" s="775">
        <f>C46*1.10231*'Emission Factors'!$B$659</f>
        <v>0</v>
      </c>
      <c r="E46" s="773"/>
      <c r="F46" s="776">
        <f>E46*'Emission Factors'!$B$651/1000</f>
        <v>0</v>
      </c>
      <c r="G46" s="773"/>
      <c r="H46" s="777">
        <f t="shared" si="3"/>
        <v>0</v>
      </c>
      <c r="I46" s="776">
        <f>H46*'Emission Factors'!$B$633</f>
        <v>0</v>
      </c>
      <c r="J46" s="773"/>
      <c r="K46" s="777">
        <f t="shared" si="4"/>
        <v>0</v>
      </c>
      <c r="L46" s="776">
        <f>K46*'Emission Factors'!$B$634</f>
        <v>0</v>
      </c>
      <c r="M46" s="773"/>
      <c r="N46" s="777">
        <f t="shared" si="5"/>
        <v>0</v>
      </c>
      <c r="O46" s="776">
        <f>N46*'Emission Factors'!$B$635</f>
        <v>0</v>
      </c>
    </row>
    <row r="47" spans="1:15" s="689" customFormat="1" x14ac:dyDescent="0.35">
      <c r="A47" s="772"/>
      <c r="B47" s="773"/>
      <c r="C47" s="774">
        <f t="shared" si="2"/>
        <v>0</v>
      </c>
      <c r="D47" s="775">
        <f>C47*1.10231*'Emission Factors'!$B$659</f>
        <v>0</v>
      </c>
      <c r="E47" s="773"/>
      <c r="F47" s="776">
        <f>E47*'Emission Factors'!$B$651/1000</f>
        <v>0</v>
      </c>
      <c r="G47" s="773"/>
      <c r="H47" s="777">
        <f t="shared" si="3"/>
        <v>0</v>
      </c>
      <c r="I47" s="776">
        <f>H47*'Emission Factors'!$B$633</f>
        <v>0</v>
      </c>
      <c r="J47" s="773"/>
      <c r="K47" s="777">
        <f t="shared" si="4"/>
        <v>0</v>
      </c>
      <c r="L47" s="776">
        <f>K47*'Emission Factors'!$B$634</f>
        <v>0</v>
      </c>
      <c r="M47" s="773"/>
      <c r="N47" s="777">
        <f t="shared" si="5"/>
        <v>0</v>
      </c>
      <c r="O47" s="776">
        <f>N47*'Emission Factors'!$B$635</f>
        <v>0</v>
      </c>
    </row>
    <row r="48" spans="1:15" s="689" customFormat="1" x14ac:dyDescent="0.35">
      <c r="A48" s="772"/>
      <c r="B48" s="773"/>
      <c r="C48" s="774">
        <f t="shared" si="2"/>
        <v>0</v>
      </c>
      <c r="D48" s="775">
        <f>C48*1.10231*'Emission Factors'!$B$659</f>
        <v>0</v>
      </c>
      <c r="E48" s="773"/>
      <c r="F48" s="776">
        <f>E48*'Emission Factors'!$B$651/1000</f>
        <v>0</v>
      </c>
      <c r="G48" s="773"/>
      <c r="H48" s="777">
        <f t="shared" si="3"/>
        <v>0</v>
      </c>
      <c r="I48" s="776">
        <f>H48*'Emission Factors'!$B$633</f>
        <v>0</v>
      </c>
      <c r="J48" s="773"/>
      <c r="K48" s="777">
        <f t="shared" si="4"/>
        <v>0</v>
      </c>
      <c r="L48" s="776">
        <f>K48*'Emission Factors'!$B$634</f>
        <v>0</v>
      </c>
      <c r="M48" s="773"/>
      <c r="N48" s="777">
        <f t="shared" si="5"/>
        <v>0</v>
      </c>
      <c r="O48" s="776">
        <f>N48*'Emission Factors'!$B$635</f>
        <v>0</v>
      </c>
    </row>
    <row r="49" spans="1:15" s="689" customFormat="1" x14ac:dyDescent="0.35">
      <c r="A49" s="772"/>
      <c r="B49" s="773"/>
      <c r="C49" s="774">
        <f t="shared" si="2"/>
        <v>0</v>
      </c>
      <c r="D49" s="775">
        <f>C49*1.10231*'Emission Factors'!$B$659</f>
        <v>0</v>
      </c>
      <c r="E49" s="773"/>
      <c r="F49" s="776">
        <f>E49*'Emission Factors'!$B$651/1000</f>
        <v>0</v>
      </c>
      <c r="G49" s="773"/>
      <c r="H49" s="777">
        <f t="shared" si="3"/>
        <v>0</v>
      </c>
      <c r="I49" s="776">
        <f>H49*'Emission Factors'!$B$633</f>
        <v>0</v>
      </c>
      <c r="J49" s="773"/>
      <c r="K49" s="777">
        <f t="shared" si="4"/>
        <v>0</v>
      </c>
      <c r="L49" s="776">
        <f>K49*'Emission Factors'!$B$634</f>
        <v>0</v>
      </c>
      <c r="M49" s="773"/>
      <c r="N49" s="777">
        <f t="shared" si="5"/>
        <v>0</v>
      </c>
      <c r="O49" s="776">
        <f>N49*'Emission Factors'!$B$635</f>
        <v>0</v>
      </c>
    </row>
    <row r="50" spans="1:15" s="689" customFormat="1" x14ac:dyDescent="0.35">
      <c r="A50" s="772"/>
      <c r="B50" s="773"/>
      <c r="C50" s="774">
        <f t="shared" si="2"/>
        <v>0</v>
      </c>
      <c r="D50" s="775">
        <f>C50*1.10231*'Emission Factors'!$B$659</f>
        <v>0</v>
      </c>
      <c r="E50" s="773"/>
      <c r="F50" s="776">
        <f>E50*'Emission Factors'!$B$651/1000</f>
        <v>0</v>
      </c>
      <c r="G50" s="773"/>
      <c r="H50" s="777">
        <f t="shared" si="3"/>
        <v>0</v>
      </c>
      <c r="I50" s="776">
        <f>H50*'Emission Factors'!$B$633</f>
        <v>0</v>
      </c>
      <c r="J50" s="773"/>
      <c r="K50" s="777">
        <f t="shared" si="4"/>
        <v>0</v>
      </c>
      <c r="L50" s="776">
        <f>K50*'Emission Factors'!$B$634</f>
        <v>0</v>
      </c>
      <c r="M50" s="773"/>
      <c r="N50" s="777">
        <f t="shared" si="5"/>
        <v>0</v>
      </c>
      <c r="O50" s="776">
        <f>N50*'Emission Factors'!$B$635</f>
        <v>0</v>
      </c>
    </row>
    <row r="51" spans="1:15" s="689" customFormat="1" x14ac:dyDescent="0.35">
      <c r="A51" s="772"/>
      <c r="B51" s="773"/>
      <c r="C51" s="774">
        <f t="shared" si="2"/>
        <v>0</v>
      </c>
      <c r="D51" s="775">
        <f>C51*1.10231*'Emission Factors'!$B$659</f>
        <v>0</v>
      </c>
      <c r="E51" s="773"/>
      <c r="F51" s="776">
        <f>E51*'Emission Factors'!$B$651/1000</f>
        <v>0</v>
      </c>
      <c r="G51" s="773"/>
      <c r="H51" s="777">
        <f t="shared" si="3"/>
        <v>0</v>
      </c>
      <c r="I51" s="776">
        <f>H51*'Emission Factors'!$B$633</f>
        <v>0</v>
      </c>
      <c r="J51" s="778"/>
      <c r="K51" s="777">
        <f t="shared" si="4"/>
        <v>0</v>
      </c>
      <c r="L51" s="776">
        <f>K51*'Emission Factors'!$B$634</f>
        <v>0</v>
      </c>
      <c r="M51" s="773"/>
      <c r="N51" s="777">
        <f t="shared" si="5"/>
        <v>0</v>
      </c>
      <c r="O51" s="776">
        <f>N51*'Emission Factors'!$B$635</f>
        <v>0</v>
      </c>
    </row>
    <row r="52" spans="1:15" s="689" customFormat="1" x14ac:dyDescent="0.35">
      <c r="A52" s="772"/>
      <c r="B52" s="773"/>
      <c r="C52" s="774">
        <f t="shared" si="2"/>
        <v>0</v>
      </c>
      <c r="D52" s="775">
        <f>C52*1.10231*'Emission Factors'!$B$659</f>
        <v>0</v>
      </c>
      <c r="E52" s="773"/>
      <c r="F52" s="776">
        <f>E52*'Emission Factors'!$B$651/1000</f>
        <v>0</v>
      </c>
      <c r="G52" s="773"/>
      <c r="H52" s="777">
        <f t="shared" si="3"/>
        <v>0</v>
      </c>
      <c r="I52" s="776">
        <f>H52*'Emission Factors'!$B$633</f>
        <v>0</v>
      </c>
      <c r="J52" s="778"/>
      <c r="K52" s="777">
        <f t="shared" si="4"/>
        <v>0</v>
      </c>
      <c r="L52" s="776">
        <f>K52*'Emission Factors'!$B$634</f>
        <v>0</v>
      </c>
      <c r="M52" s="778"/>
      <c r="N52" s="777">
        <f t="shared" si="5"/>
        <v>0</v>
      </c>
      <c r="O52" s="776">
        <f>N52*'Emission Factors'!$B$635</f>
        <v>0</v>
      </c>
    </row>
    <row r="53" spans="1:15" s="689" customFormat="1" x14ac:dyDescent="0.35">
      <c r="A53" s="772"/>
      <c r="B53" s="773"/>
      <c r="C53" s="774">
        <f t="shared" si="2"/>
        <v>0</v>
      </c>
      <c r="D53" s="775">
        <f>C53*1.10231*'Emission Factors'!$B$659</f>
        <v>0</v>
      </c>
      <c r="E53" s="773"/>
      <c r="F53" s="776">
        <f>E53*'Emission Factors'!$B$651/1000</f>
        <v>0</v>
      </c>
      <c r="G53" s="773"/>
      <c r="H53" s="777">
        <f t="shared" si="3"/>
        <v>0</v>
      </c>
      <c r="I53" s="776">
        <f>H53*'Emission Factors'!$B$633</f>
        <v>0</v>
      </c>
      <c r="J53" s="778"/>
      <c r="K53" s="777">
        <f t="shared" si="4"/>
        <v>0</v>
      </c>
      <c r="L53" s="776">
        <f>K53*'Emission Factors'!$B$634</f>
        <v>0</v>
      </c>
      <c r="M53" s="778"/>
      <c r="N53" s="777">
        <f t="shared" si="5"/>
        <v>0</v>
      </c>
      <c r="O53" s="776">
        <f>N53*'Emission Factors'!$B$635</f>
        <v>0</v>
      </c>
    </row>
    <row r="54" spans="1:15" s="689" customFormat="1" x14ac:dyDescent="0.35">
      <c r="A54" s="772"/>
      <c r="B54" s="773"/>
      <c r="C54" s="774">
        <f t="shared" si="2"/>
        <v>0</v>
      </c>
      <c r="D54" s="775">
        <f>C54*1.10231*'Emission Factors'!$B$659</f>
        <v>0</v>
      </c>
      <c r="E54" s="773"/>
      <c r="F54" s="776">
        <f>E54*'Emission Factors'!$B$651/1000</f>
        <v>0</v>
      </c>
      <c r="G54" s="773"/>
      <c r="H54" s="777">
        <f t="shared" si="3"/>
        <v>0</v>
      </c>
      <c r="I54" s="776">
        <f>H54*'Emission Factors'!$B$633</f>
        <v>0</v>
      </c>
      <c r="J54" s="778"/>
      <c r="K54" s="777">
        <f t="shared" si="4"/>
        <v>0</v>
      </c>
      <c r="L54" s="776">
        <f>K54*'Emission Factors'!$B$634</f>
        <v>0</v>
      </c>
      <c r="M54" s="778"/>
      <c r="N54" s="777">
        <f t="shared" si="5"/>
        <v>0</v>
      </c>
      <c r="O54" s="776">
        <f>N54*'Emission Factors'!$B$635</f>
        <v>0</v>
      </c>
    </row>
    <row r="55" spans="1:15" s="689" customFormat="1" x14ac:dyDescent="0.35">
      <c r="A55" s="772"/>
      <c r="B55" s="773"/>
      <c r="C55" s="774">
        <f t="shared" si="2"/>
        <v>0</v>
      </c>
      <c r="D55" s="775">
        <f>C55*1.10231*'Emission Factors'!$B$659</f>
        <v>0</v>
      </c>
      <c r="E55" s="773"/>
      <c r="F55" s="776">
        <f>E55*'Emission Factors'!$B$651/1000</f>
        <v>0</v>
      </c>
      <c r="G55" s="773"/>
      <c r="H55" s="777">
        <f t="shared" si="3"/>
        <v>0</v>
      </c>
      <c r="I55" s="776">
        <f>H55*'Emission Factors'!$B$633</f>
        <v>0</v>
      </c>
      <c r="J55" s="778"/>
      <c r="K55" s="777">
        <f t="shared" si="4"/>
        <v>0</v>
      </c>
      <c r="L55" s="776">
        <f>K55*'Emission Factors'!$B$634</f>
        <v>0</v>
      </c>
      <c r="M55" s="778"/>
      <c r="N55" s="777">
        <f t="shared" si="5"/>
        <v>0</v>
      </c>
      <c r="O55" s="776">
        <f>N55*'Emission Factors'!$B$635</f>
        <v>0</v>
      </c>
    </row>
    <row r="56" spans="1:15" s="689" customFormat="1" x14ac:dyDescent="0.35">
      <c r="A56" s="772"/>
      <c r="B56" s="773"/>
      <c r="C56" s="774">
        <f t="shared" si="2"/>
        <v>0</v>
      </c>
      <c r="D56" s="775">
        <f>C56*1.10231*'Emission Factors'!$B$659</f>
        <v>0</v>
      </c>
      <c r="E56" s="773"/>
      <c r="F56" s="776">
        <f>E56*'Emission Factors'!$B$651/1000</f>
        <v>0</v>
      </c>
      <c r="G56" s="773"/>
      <c r="H56" s="777">
        <f t="shared" si="3"/>
        <v>0</v>
      </c>
      <c r="I56" s="776">
        <f>H56*'Emission Factors'!$B$633</f>
        <v>0</v>
      </c>
      <c r="J56" s="778"/>
      <c r="K56" s="777">
        <f t="shared" si="4"/>
        <v>0</v>
      </c>
      <c r="L56" s="776">
        <f>K56*'Emission Factors'!$B$634</f>
        <v>0</v>
      </c>
      <c r="M56" s="778"/>
      <c r="N56" s="777">
        <f t="shared" si="5"/>
        <v>0</v>
      </c>
      <c r="O56" s="776">
        <f>N56*'Emission Factors'!$B$635</f>
        <v>0</v>
      </c>
    </row>
    <row r="57" spans="1:15" s="689" customFormat="1" x14ac:dyDescent="0.35">
      <c r="A57" s="772"/>
      <c r="B57" s="773"/>
      <c r="C57" s="774">
        <f t="shared" si="2"/>
        <v>0</v>
      </c>
      <c r="D57" s="775">
        <f>C57*1.10231*'Emission Factors'!$B$659</f>
        <v>0</v>
      </c>
      <c r="E57" s="773"/>
      <c r="F57" s="776">
        <f>E57*'Emission Factors'!$B$651/1000</f>
        <v>0</v>
      </c>
      <c r="G57" s="773"/>
      <c r="H57" s="777">
        <f t="shared" si="3"/>
        <v>0</v>
      </c>
      <c r="I57" s="776">
        <f>H57*'Emission Factors'!$B$633</f>
        <v>0</v>
      </c>
      <c r="J57" s="778"/>
      <c r="K57" s="777">
        <f t="shared" si="4"/>
        <v>0</v>
      </c>
      <c r="L57" s="776">
        <f>K57*'Emission Factors'!$B$634</f>
        <v>0</v>
      </c>
      <c r="M57" s="778"/>
      <c r="N57" s="777">
        <f t="shared" si="5"/>
        <v>0</v>
      </c>
      <c r="O57" s="776">
        <f>N57*'Emission Factors'!$B$635</f>
        <v>0</v>
      </c>
    </row>
    <row r="58" spans="1:15" s="689" customFormat="1" x14ac:dyDescent="0.35">
      <c r="A58" s="772"/>
      <c r="B58" s="773"/>
      <c r="C58" s="774">
        <f t="shared" si="2"/>
        <v>0</v>
      </c>
      <c r="D58" s="775">
        <f>C58*1.10231*'Emission Factors'!$B$659</f>
        <v>0</v>
      </c>
      <c r="E58" s="773"/>
      <c r="F58" s="776">
        <f>E58*'Emission Factors'!$B$651/1000</f>
        <v>0</v>
      </c>
      <c r="G58" s="773"/>
      <c r="H58" s="777">
        <f t="shared" si="3"/>
        <v>0</v>
      </c>
      <c r="I58" s="776">
        <f>H58*'Emission Factors'!$B$633</f>
        <v>0</v>
      </c>
      <c r="J58" s="778"/>
      <c r="K58" s="777">
        <f t="shared" si="4"/>
        <v>0</v>
      </c>
      <c r="L58" s="776">
        <f>K58*'Emission Factors'!$B$634</f>
        <v>0</v>
      </c>
      <c r="M58" s="778"/>
      <c r="N58" s="777">
        <f t="shared" si="5"/>
        <v>0</v>
      </c>
      <c r="O58" s="776">
        <f>N58*'Emission Factors'!$B$635</f>
        <v>0</v>
      </c>
    </row>
    <row r="59" spans="1:15" s="689" customFormat="1" x14ac:dyDescent="0.35">
      <c r="A59" s="772"/>
      <c r="B59" s="773"/>
      <c r="C59" s="774">
        <f t="shared" si="2"/>
        <v>0</v>
      </c>
      <c r="D59" s="775">
        <f>C59*1.10231*'Emission Factors'!$B$659</f>
        <v>0</v>
      </c>
      <c r="E59" s="773"/>
      <c r="F59" s="776">
        <f>E59*'Emission Factors'!$B$651/1000</f>
        <v>0</v>
      </c>
      <c r="G59" s="773"/>
      <c r="H59" s="777">
        <f t="shared" si="3"/>
        <v>0</v>
      </c>
      <c r="I59" s="776">
        <f>H59*'Emission Factors'!$B$633</f>
        <v>0</v>
      </c>
      <c r="J59" s="778"/>
      <c r="K59" s="777">
        <f t="shared" si="4"/>
        <v>0</v>
      </c>
      <c r="L59" s="776">
        <f>K59*'Emission Factors'!$B$634</f>
        <v>0</v>
      </c>
      <c r="M59" s="778"/>
      <c r="N59" s="777">
        <f t="shared" si="5"/>
        <v>0</v>
      </c>
      <c r="O59" s="776">
        <f>N59*'Emission Factors'!$B$635</f>
        <v>0</v>
      </c>
    </row>
    <row r="60" spans="1:15" s="689" customFormat="1" x14ac:dyDescent="0.35">
      <c r="A60" s="772"/>
      <c r="B60" s="773"/>
      <c r="C60" s="774">
        <f t="shared" si="2"/>
        <v>0</v>
      </c>
      <c r="D60" s="775">
        <f>C60*1.10231*'Emission Factors'!$B$659</f>
        <v>0</v>
      </c>
      <c r="E60" s="773"/>
      <c r="F60" s="776">
        <f>E60*'Emission Factors'!$B$651/1000</f>
        <v>0</v>
      </c>
      <c r="G60" s="773"/>
      <c r="H60" s="777">
        <f t="shared" si="3"/>
        <v>0</v>
      </c>
      <c r="I60" s="776">
        <f>H60*'Emission Factors'!$B$633</f>
        <v>0</v>
      </c>
      <c r="J60" s="778"/>
      <c r="K60" s="777">
        <f t="shared" si="4"/>
        <v>0</v>
      </c>
      <c r="L60" s="776">
        <f>K60*'Emission Factors'!$B$634</f>
        <v>0</v>
      </c>
      <c r="M60" s="778"/>
      <c r="N60" s="777">
        <f t="shared" si="5"/>
        <v>0</v>
      </c>
      <c r="O60" s="776">
        <f>N60*'Emission Factors'!$B$635</f>
        <v>0</v>
      </c>
    </row>
    <row r="61" spans="1:15" s="689" customFormat="1" x14ac:dyDescent="0.35">
      <c r="A61" s="772"/>
      <c r="B61" s="773"/>
      <c r="C61" s="774">
        <f t="shared" si="2"/>
        <v>0</v>
      </c>
      <c r="D61" s="775">
        <f>C61*1.10231*'Emission Factors'!$B$659</f>
        <v>0</v>
      </c>
      <c r="E61" s="773"/>
      <c r="F61" s="776">
        <f>E61*'Emission Factors'!$B$651/1000</f>
        <v>0</v>
      </c>
      <c r="G61" s="773"/>
      <c r="H61" s="777">
        <f t="shared" si="3"/>
        <v>0</v>
      </c>
      <c r="I61" s="776">
        <f>H61*'Emission Factors'!$B$633</f>
        <v>0</v>
      </c>
      <c r="J61" s="778"/>
      <c r="K61" s="777">
        <f t="shared" si="4"/>
        <v>0</v>
      </c>
      <c r="L61" s="776">
        <f>K61*'Emission Factors'!$B$634</f>
        <v>0</v>
      </c>
      <c r="M61" s="778"/>
      <c r="N61" s="777">
        <f t="shared" si="5"/>
        <v>0</v>
      </c>
      <c r="O61" s="776">
        <f>N61*'Emission Factors'!$B$635</f>
        <v>0</v>
      </c>
    </row>
    <row r="62" spans="1:15" s="689" customFormat="1" x14ac:dyDescent="0.35">
      <c r="A62" s="772"/>
      <c r="B62" s="773"/>
      <c r="C62" s="774">
        <f t="shared" si="2"/>
        <v>0</v>
      </c>
      <c r="D62" s="775">
        <f>C62*1.10231*'Emission Factors'!$B$659</f>
        <v>0</v>
      </c>
      <c r="E62" s="773"/>
      <c r="F62" s="776">
        <f>E62*'Emission Factors'!$B$651/1000</f>
        <v>0</v>
      </c>
      <c r="G62" s="773"/>
      <c r="H62" s="777">
        <f t="shared" si="3"/>
        <v>0</v>
      </c>
      <c r="I62" s="776">
        <f>H62*'Emission Factors'!$B$633</f>
        <v>0</v>
      </c>
      <c r="J62" s="778"/>
      <c r="K62" s="777">
        <f t="shared" si="4"/>
        <v>0</v>
      </c>
      <c r="L62" s="776">
        <f>K62*'Emission Factors'!$B$634</f>
        <v>0</v>
      </c>
      <c r="M62" s="778"/>
      <c r="N62" s="777">
        <f t="shared" si="5"/>
        <v>0</v>
      </c>
      <c r="O62" s="776">
        <f>N62*'Emission Factors'!$B$635</f>
        <v>0</v>
      </c>
    </row>
    <row r="63" spans="1:15" s="689" customFormat="1" x14ac:dyDescent="0.35">
      <c r="A63" s="772"/>
      <c r="B63" s="773"/>
      <c r="C63" s="774">
        <f t="shared" si="2"/>
        <v>0</v>
      </c>
      <c r="D63" s="775">
        <f>C63*1.10231*'Emission Factors'!$B$659</f>
        <v>0</v>
      </c>
      <c r="E63" s="773"/>
      <c r="F63" s="776">
        <f>E63*'Emission Factors'!$B$651/1000</f>
        <v>0</v>
      </c>
      <c r="G63" s="773"/>
      <c r="H63" s="777">
        <f t="shared" si="3"/>
        <v>0</v>
      </c>
      <c r="I63" s="776">
        <f>H63*'Emission Factors'!$B$633</f>
        <v>0</v>
      </c>
      <c r="J63" s="778"/>
      <c r="K63" s="777">
        <f t="shared" si="4"/>
        <v>0</v>
      </c>
      <c r="L63" s="776">
        <f>K63*'Emission Factors'!$B$634</f>
        <v>0</v>
      </c>
      <c r="M63" s="778"/>
      <c r="N63" s="777">
        <f t="shared" si="5"/>
        <v>0</v>
      </c>
      <c r="O63" s="776">
        <f>N63*'Emission Factors'!$B$635</f>
        <v>0</v>
      </c>
    </row>
    <row r="64" spans="1:15" s="689" customFormat="1" x14ac:dyDescent="0.35">
      <c r="A64" s="772"/>
      <c r="B64" s="773"/>
      <c r="C64" s="774">
        <f t="shared" si="2"/>
        <v>0</v>
      </c>
      <c r="D64" s="775">
        <f>C64*1.10231*'Emission Factors'!$B$659</f>
        <v>0</v>
      </c>
      <c r="E64" s="773"/>
      <c r="F64" s="776">
        <f>E64*'Emission Factors'!$B$651/1000</f>
        <v>0</v>
      </c>
      <c r="G64" s="773"/>
      <c r="H64" s="777">
        <f t="shared" si="3"/>
        <v>0</v>
      </c>
      <c r="I64" s="776">
        <f>H64*'Emission Factors'!$B$633</f>
        <v>0</v>
      </c>
      <c r="J64" s="778"/>
      <c r="K64" s="777">
        <f t="shared" si="4"/>
        <v>0</v>
      </c>
      <c r="L64" s="776">
        <f>K64*'Emission Factors'!$B$634</f>
        <v>0</v>
      </c>
      <c r="M64" s="778"/>
      <c r="N64" s="777">
        <f t="shared" si="5"/>
        <v>0</v>
      </c>
      <c r="O64" s="776">
        <f>N64*'Emission Factors'!$B$635</f>
        <v>0</v>
      </c>
    </row>
    <row r="65" spans="1:22" x14ac:dyDescent="0.35">
      <c r="A65" s="772"/>
      <c r="B65" s="773"/>
      <c r="C65" s="774">
        <f t="shared" si="2"/>
        <v>0</v>
      </c>
      <c r="D65" s="775">
        <f>C65*1.10231*'Emission Factors'!$B$659</f>
        <v>0</v>
      </c>
      <c r="E65" s="773"/>
      <c r="F65" s="776">
        <f>E65*'Emission Factors'!$B$651/1000</f>
        <v>0</v>
      </c>
      <c r="G65" s="773"/>
      <c r="H65" s="777">
        <f t="shared" si="3"/>
        <v>0</v>
      </c>
      <c r="I65" s="776">
        <f>H65*'Emission Factors'!$B$633</f>
        <v>0</v>
      </c>
      <c r="J65" s="778"/>
      <c r="K65" s="777">
        <f t="shared" si="4"/>
        <v>0</v>
      </c>
      <c r="L65" s="776">
        <f>K65*'Emission Factors'!$B$634</f>
        <v>0</v>
      </c>
      <c r="M65" s="778"/>
      <c r="N65" s="777">
        <f t="shared" si="5"/>
        <v>0</v>
      </c>
      <c r="O65" s="776">
        <f>N65*'Emission Factors'!$B$635</f>
        <v>0</v>
      </c>
      <c r="V65" s="689"/>
    </row>
    <row r="66" spans="1:22" x14ac:dyDescent="0.35">
      <c r="A66" s="772"/>
      <c r="B66" s="773"/>
      <c r="C66" s="774">
        <f t="shared" si="2"/>
        <v>0</v>
      </c>
      <c r="D66" s="775">
        <f>C66*1.10231*'Emission Factors'!$B$659</f>
        <v>0</v>
      </c>
      <c r="E66" s="773"/>
      <c r="F66" s="776">
        <f>E66*'Emission Factors'!$B$651/1000</f>
        <v>0</v>
      </c>
      <c r="G66" s="773"/>
      <c r="H66" s="777">
        <f t="shared" si="3"/>
        <v>0</v>
      </c>
      <c r="I66" s="776">
        <f>H66*'Emission Factors'!$B$633</f>
        <v>0</v>
      </c>
      <c r="J66" s="778"/>
      <c r="K66" s="777">
        <f t="shared" si="4"/>
        <v>0</v>
      </c>
      <c r="L66" s="776">
        <f>K66*'Emission Factors'!$B$634</f>
        <v>0</v>
      </c>
      <c r="M66" s="778"/>
      <c r="N66" s="777">
        <f t="shared" si="5"/>
        <v>0</v>
      </c>
      <c r="O66" s="776">
        <f>N66*'Emission Factors'!$B$635</f>
        <v>0</v>
      </c>
      <c r="V66" s="689"/>
    </row>
    <row r="67" spans="1:22" x14ac:dyDescent="0.35">
      <c r="A67" s="772"/>
      <c r="B67" s="773"/>
      <c r="C67" s="774">
        <f t="shared" si="2"/>
        <v>0</v>
      </c>
      <c r="D67" s="775">
        <f>C67*1.10231*'Emission Factors'!$B$659</f>
        <v>0</v>
      </c>
      <c r="E67" s="773"/>
      <c r="F67" s="776">
        <f>E67*'Emission Factors'!$B$651/1000</f>
        <v>0</v>
      </c>
      <c r="G67" s="773"/>
      <c r="H67" s="777">
        <f t="shared" si="3"/>
        <v>0</v>
      </c>
      <c r="I67" s="776">
        <f>H67*'Emission Factors'!$B$633</f>
        <v>0</v>
      </c>
      <c r="J67" s="778"/>
      <c r="K67" s="777">
        <f t="shared" si="4"/>
        <v>0</v>
      </c>
      <c r="L67" s="776">
        <f>K67*'Emission Factors'!$B$634</f>
        <v>0</v>
      </c>
      <c r="M67" s="778"/>
      <c r="N67" s="777">
        <f t="shared" si="5"/>
        <v>0</v>
      </c>
      <c r="O67" s="776">
        <f>N67*'Emission Factors'!$B$635</f>
        <v>0</v>
      </c>
      <c r="V67" s="689"/>
    </row>
    <row r="68" spans="1:22" x14ac:dyDescent="0.35">
      <c r="A68" s="772"/>
      <c r="B68" s="773"/>
      <c r="C68" s="774">
        <f t="shared" si="2"/>
        <v>0</v>
      </c>
      <c r="D68" s="775">
        <f>C68*1.10231*'Emission Factors'!$B$659</f>
        <v>0</v>
      </c>
      <c r="E68" s="773"/>
      <c r="F68" s="776">
        <f>E68*'Emission Factors'!$B$651/1000</f>
        <v>0</v>
      </c>
      <c r="G68" s="773"/>
      <c r="H68" s="777">
        <f t="shared" si="3"/>
        <v>0</v>
      </c>
      <c r="I68" s="776">
        <f>H68*'Emission Factors'!$B$633</f>
        <v>0</v>
      </c>
      <c r="J68" s="778"/>
      <c r="K68" s="777">
        <f t="shared" si="4"/>
        <v>0</v>
      </c>
      <c r="L68" s="776">
        <f>K68*'Emission Factors'!$B$634</f>
        <v>0</v>
      </c>
      <c r="M68" s="778"/>
      <c r="N68" s="777">
        <f t="shared" si="5"/>
        <v>0</v>
      </c>
      <c r="O68" s="776">
        <f>N68*'Emission Factors'!$B$635</f>
        <v>0</v>
      </c>
      <c r="V68" s="689"/>
    </row>
    <row r="69" spans="1:22" x14ac:dyDescent="0.35">
      <c r="A69" s="772"/>
      <c r="B69" s="773"/>
      <c r="C69" s="774">
        <f t="shared" si="2"/>
        <v>0</v>
      </c>
      <c r="D69" s="775">
        <f>C69*1.10231*'Emission Factors'!$B$659</f>
        <v>0</v>
      </c>
      <c r="E69" s="773"/>
      <c r="F69" s="776">
        <f>E69*'Emission Factors'!$B$651/1000</f>
        <v>0</v>
      </c>
      <c r="G69" s="773"/>
      <c r="H69" s="777">
        <f t="shared" si="3"/>
        <v>0</v>
      </c>
      <c r="I69" s="776">
        <f>H69*'Emission Factors'!$B$633</f>
        <v>0</v>
      </c>
      <c r="J69" s="778"/>
      <c r="K69" s="777">
        <f t="shared" si="4"/>
        <v>0</v>
      </c>
      <c r="L69" s="776">
        <f>K69*'Emission Factors'!$B$634</f>
        <v>0</v>
      </c>
      <c r="M69" s="778"/>
      <c r="N69" s="777">
        <f t="shared" si="5"/>
        <v>0</v>
      </c>
      <c r="O69" s="776">
        <f>N69*'Emission Factors'!$B$635</f>
        <v>0</v>
      </c>
      <c r="V69" s="689"/>
    </row>
    <row r="70" spans="1:22" ht="15" thickBot="1" x14ac:dyDescent="0.4">
      <c r="A70" s="772"/>
      <c r="B70" s="779"/>
      <c r="C70" s="780">
        <f t="shared" si="2"/>
        <v>0</v>
      </c>
      <c r="D70" s="781">
        <f>C70*1.10231*'Emission Factors'!$B$659</f>
        <v>0</v>
      </c>
      <c r="E70" s="779"/>
      <c r="F70" s="782">
        <f>E70*'Emission Factors'!$B$651/1000</f>
        <v>0</v>
      </c>
      <c r="G70" s="783"/>
      <c r="H70" s="784">
        <f t="shared" si="3"/>
        <v>0</v>
      </c>
      <c r="I70" s="782">
        <f>H70*'Emission Factors'!$B$633</f>
        <v>0</v>
      </c>
      <c r="J70" s="783"/>
      <c r="K70" s="784">
        <f t="shared" si="4"/>
        <v>0</v>
      </c>
      <c r="L70" s="782">
        <f>K70*'Emission Factors'!$B$634</f>
        <v>0</v>
      </c>
      <c r="M70" s="783"/>
      <c r="N70" s="784">
        <f t="shared" si="5"/>
        <v>0</v>
      </c>
      <c r="O70" s="782">
        <f>N70*'Emission Factors'!$B$635</f>
        <v>0</v>
      </c>
      <c r="V70" s="689"/>
    </row>
    <row r="71" spans="1:22" s="617" customFormat="1" ht="21.5" thickBot="1" x14ac:dyDescent="0.55000000000000004">
      <c r="C71" s="785" t="s">
        <v>413</v>
      </c>
      <c r="D71" s="785">
        <f>SUM(D35:D70)</f>
        <v>0</v>
      </c>
      <c r="F71" s="785">
        <f>SUM(F35:F70)</f>
        <v>0</v>
      </c>
      <c r="I71" s="785">
        <f>SUM(I35:I70)</f>
        <v>0</v>
      </c>
      <c r="L71" s="785">
        <f>SUM(L35:L70)</f>
        <v>0</v>
      </c>
      <c r="O71" s="785">
        <f>SUM(O35:O70)</f>
        <v>0</v>
      </c>
      <c r="Q71" s="689"/>
    </row>
    <row r="72" spans="1:22" x14ac:dyDescent="0.35">
      <c r="C72" s="1014"/>
    </row>
    <row r="73" spans="1:22" x14ac:dyDescent="0.35">
      <c r="C73" s="1014"/>
    </row>
    <row r="74" spans="1:22" x14ac:dyDescent="0.35">
      <c r="C74" s="1014"/>
    </row>
    <row r="75" spans="1:22" x14ac:dyDescent="0.35">
      <c r="C75" s="1014"/>
    </row>
    <row r="76" spans="1:22" x14ac:dyDescent="0.35">
      <c r="C76" s="1014"/>
    </row>
    <row r="77" spans="1:22" x14ac:dyDescent="0.35">
      <c r="C77" s="1014"/>
    </row>
    <row r="78" spans="1:22" x14ac:dyDescent="0.35">
      <c r="C78" s="1014"/>
    </row>
    <row r="79" spans="1:22" x14ac:dyDescent="0.35">
      <c r="C79" s="1014"/>
    </row>
    <row r="80" spans="1:22" x14ac:dyDescent="0.35">
      <c r="C80" s="1014"/>
    </row>
    <row r="81" spans="3:3" x14ac:dyDescent="0.35">
      <c r="C81" s="1014"/>
    </row>
    <row r="82" spans="3:3" x14ac:dyDescent="0.35">
      <c r="C82" s="1014"/>
    </row>
    <row r="83" spans="3:3" x14ac:dyDescent="0.35">
      <c r="C83" s="1014"/>
    </row>
    <row r="84" spans="3:3" x14ac:dyDescent="0.35">
      <c r="C84" s="1014"/>
    </row>
    <row r="85" spans="3:3" x14ac:dyDescent="0.35">
      <c r="C85" s="1014"/>
    </row>
    <row r="86" spans="3:3" x14ac:dyDescent="0.35">
      <c r="C86" s="1014"/>
    </row>
    <row r="87" spans="3:3" x14ac:dyDescent="0.35">
      <c r="C87" s="1014"/>
    </row>
    <row r="88" spans="3:3" x14ac:dyDescent="0.35">
      <c r="C88" s="1014"/>
    </row>
    <row r="89" spans="3:3" x14ac:dyDescent="0.35">
      <c r="C89" s="1014"/>
    </row>
    <row r="90" spans="3:3" x14ac:dyDescent="0.35">
      <c r="C90" s="1014"/>
    </row>
    <row r="91" spans="3:3" x14ac:dyDescent="0.35">
      <c r="C91" s="1014"/>
    </row>
    <row r="92" spans="3:3" x14ac:dyDescent="0.35">
      <c r="C92" s="1014"/>
    </row>
    <row r="93" spans="3:3" x14ac:dyDescent="0.35">
      <c r="C93" s="1014"/>
    </row>
    <row r="94" spans="3:3" x14ac:dyDescent="0.35">
      <c r="C94" s="1014"/>
    </row>
    <row r="95" spans="3:3" x14ac:dyDescent="0.35">
      <c r="C95" s="1014"/>
    </row>
    <row r="96" spans="3:3" x14ac:dyDescent="0.35">
      <c r="C96" s="1014"/>
    </row>
    <row r="97" spans="3:3" x14ac:dyDescent="0.35">
      <c r="C97" s="1014"/>
    </row>
    <row r="98" spans="3:3" x14ac:dyDescent="0.35">
      <c r="C98" s="1014"/>
    </row>
    <row r="99" spans="3:3" x14ac:dyDescent="0.35">
      <c r="C99" s="1014"/>
    </row>
    <row r="100" spans="3:3" x14ac:dyDescent="0.35">
      <c r="C100" s="1014"/>
    </row>
    <row r="101" spans="3:3" x14ac:dyDescent="0.35">
      <c r="C101" s="1014"/>
    </row>
    <row r="102" spans="3:3" x14ac:dyDescent="0.35">
      <c r="C102" s="1014"/>
    </row>
    <row r="103" spans="3:3" x14ac:dyDescent="0.35">
      <c r="C103" s="1014"/>
    </row>
    <row r="104" spans="3:3" x14ac:dyDescent="0.35">
      <c r="C104" s="1014"/>
    </row>
    <row r="105" spans="3:3" x14ac:dyDescent="0.35">
      <c r="C105" s="1014"/>
    </row>
    <row r="106" spans="3:3" x14ac:dyDescent="0.35">
      <c r="C106" s="1014"/>
    </row>
    <row r="107" spans="3:3" x14ac:dyDescent="0.35">
      <c r="C107" s="1014"/>
    </row>
    <row r="108" spans="3:3" x14ac:dyDescent="0.35">
      <c r="C108" s="1014"/>
    </row>
    <row r="109" spans="3:3" x14ac:dyDescent="0.35">
      <c r="C109" s="1014"/>
    </row>
    <row r="110" spans="3:3" x14ac:dyDescent="0.35">
      <c r="C110" s="1014"/>
    </row>
    <row r="111" spans="3:3" x14ac:dyDescent="0.35">
      <c r="C111" s="1014"/>
    </row>
    <row r="112" spans="3:3" x14ac:dyDescent="0.35">
      <c r="C112" s="1014"/>
    </row>
    <row r="113" spans="3:3" x14ac:dyDescent="0.35">
      <c r="C113" s="1014"/>
    </row>
    <row r="114" spans="3:3" x14ac:dyDescent="0.35">
      <c r="C114" s="1014"/>
    </row>
    <row r="115" spans="3:3" x14ac:dyDescent="0.35">
      <c r="C115" s="1014"/>
    </row>
    <row r="116" spans="3:3" x14ac:dyDescent="0.35">
      <c r="C116" s="1014"/>
    </row>
    <row r="117" spans="3:3" x14ac:dyDescent="0.35">
      <c r="C117" s="1014"/>
    </row>
    <row r="118" spans="3:3" x14ac:dyDescent="0.35">
      <c r="C118" s="1014"/>
    </row>
    <row r="119" spans="3:3" x14ac:dyDescent="0.35">
      <c r="C119" s="1014"/>
    </row>
    <row r="120" spans="3:3" x14ac:dyDescent="0.35">
      <c r="C120" s="1014"/>
    </row>
    <row r="121" spans="3:3" x14ac:dyDescent="0.35">
      <c r="C121" s="1014"/>
    </row>
    <row r="122" spans="3:3" x14ac:dyDescent="0.35">
      <c r="C122" s="1014"/>
    </row>
    <row r="123" spans="3:3" x14ac:dyDescent="0.35">
      <c r="C123" s="1014"/>
    </row>
    <row r="124" spans="3:3" x14ac:dyDescent="0.35">
      <c r="C124" s="1014"/>
    </row>
    <row r="125" spans="3:3" x14ac:dyDescent="0.35">
      <c r="C125" s="1014"/>
    </row>
    <row r="126" spans="3:3" x14ac:dyDescent="0.35">
      <c r="C126" s="1014"/>
    </row>
    <row r="127" spans="3:3" x14ac:dyDescent="0.35">
      <c r="C127" s="1014"/>
    </row>
    <row r="128" spans="3:3" x14ac:dyDescent="0.35">
      <c r="C128" s="1014"/>
    </row>
    <row r="129" spans="3:3" x14ac:dyDescent="0.35">
      <c r="C129" s="1014"/>
    </row>
    <row r="130" spans="3:3" x14ac:dyDescent="0.35">
      <c r="C130" s="1014"/>
    </row>
    <row r="131" spans="3:3" x14ac:dyDescent="0.35">
      <c r="C131" s="1014"/>
    </row>
    <row r="132" spans="3:3" x14ac:dyDescent="0.35">
      <c r="C132" s="1014"/>
    </row>
    <row r="133" spans="3:3" x14ac:dyDescent="0.35">
      <c r="C133" s="1014"/>
    </row>
    <row r="134" spans="3:3" x14ac:dyDescent="0.35">
      <c r="C134" s="1014"/>
    </row>
    <row r="135" spans="3:3" x14ac:dyDescent="0.35">
      <c r="C135" s="1014"/>
    </row>
    <row r="136" spans="3:3" x14ac:dyDescent="0.35">
      <c r="C136" s="1014"/>
    </row>
    <row r="137" spans="3:3" x14ac:dyDescent="0.35">
      <c r="C137" s="1014"/>
    </row>
    <row r="138" spans="3:3" x14ac:dyDescent="0.35">
      <c r="C138" s="1014"/>
    </row>
    <row r="139" spans="3:3" x14ac:dyDescent="0.35">
      <c r="C139" s="1014"/>
    </row>
    <row r="140" spans="3:3" x14ac:dyDescent="0.35">
      <c r="C140" s="1014"/>
    </row>
    <row r="141" spans="3:3" x14ac:dyDescent="0.35">
      <c r="C141" s="1014"/>
    </row>
    <row r="142" spans="3:3" x14ac:dyDescent="0.35">
      <c r="C142" s="1014"/>
    </row>
    <row r="143" spans="3:3" x14ac:dyDescent="0.35">
      <c r="C143" s="1014"/>
    </row>
    <row r="144" spans="3:3" x14ac:dyDescent="0.35">
      <c r="C144" s="1014"/>
    </row>
    <row r="145" spans="3:3" x14ac:dyDescent="0.35">
      <c r="C145" s="1014"/>
    </row>
    <row r="146" spans="3:3" x14ac:dyDescent="0.35">
      <c r="C146" s="1014"/>
    </row>
    <row r="147" spans="3:3" x14ac:dyDescent="0.35">
      <c r="C147" s="1014"/>
    </row>
    <row r="148" spans="3:3" x14ac:dyDescent="0.35">
      <c r="C148" s="1014"/>
    </row>
    <row r="149" spans="3:3" x14ac:dyDescent="0.35">
      <c r="C149" s="1014"/>
    </row>
    <row r="150" spans="3:3" x14ac:dyDescent="0.35">
      <c r="C150" s="1014"/>
    </row>
    <row r="151" spans="3:3" x14ac:dyDescent="0.35">
      <c r="C151" s="1014"/>
    </row>
    <row r="152" spans="3:3" x14ac:dyDescent="0.35">
      <c r="C152" s="1014"/>
    </row>
    <row r="153" spans="3:3" x14ac:dyDescent="0.35">
      <c r="C153" s="1014"/>
    </row>
    <row r="154" spans="3:3" x14ac:dyDescent="0.35">
      <c r="C154" s="1014"/>
    </row>
    <row r="155" spans="3:3" x14ac:dyDescent="0.35">
      <c r="C155" s="1014"/>
    </row>
    <row r="156" spans="3:3" x14ac:dyDescent="0.35">
      <c r="C156" s="1014"/>
    </row>
    <row r="157" spans="3:3" x14ac:dyDescent="0.35">
      <c r="C157" s="1014"/>
    </row>
    <row r="158" spans="3:3" x14ac:dyDescent="0.35">
      <c r="C158" s="1014"/>
    </row>
    <row r="159" spans="3:3" x14ac:dyDescent="0.35">
      <c r="C159" s="1014"/>
    </row>
    <row r="160" spans="3:3" x14ac:dyDescent="0.35">
      <c r="C160" s="1014"/>
    </row>
    <row r="161" spans="3:3" x14ac:dyDescent="0.35">
      <c r="C161" s="1014"/>
    </row>
    <row r="162" spans="3:3" x14ac:dyDescent="0.35">
      <c r="C162" s="1014"/>
    </row>
    <row r="163" spans="3:3" x14ac:dyDescent="0.35">
      <c r="C163" s="1014"/>
    </row>
    <row r="164" spans="3:3" x14ac:dyDescent="0.35">
      <c r="C164" s="1014"/>
    </row>
    <row r="165" spans="3:3" x14ac:dyDescent="0.35">
      <c r="C165" s="1014"/>
    </row>
    <row r="166" spans="3:3" x14ac:dyDescent="0.35">
      <c r="C166" s="1014"/>
    </row>
    <row r="167" spans="3:3" x14ac:dyDescent="0.35">
      <c r="C167" s="1014"/>
    </row>
    <row r="168" spans="3:3" x14ac:dyDescent="0.35">
      <c r="C168" s="1014"/>
    </row>
    <row r="169" spans="3:3" x14ac:dyDescent="0.35">
      <c r="C169" s="1014"/>
    </row>
    <row r="170" spans="3:3" x14ac:dyDescent="0.35">
      <c r="C170" s="1014"/>
    </row>
    <row r="171" spans="3:3" x14ac:dyDescent="0.35">
      <c r="C171" s="1014"/>
    </row>
    <row r="172" spans="3:3" x14ac:dyDescent="0.35">
      <c r="C172" s="1014"/>
    </row>
    <row r="173" spans="3:3" x14ac:dyDescent="0.35">
      <c r="C173" s="1014"/>
    </row>
    <row r="174" spans="3:3" x14ac:dyDescent="0.35">
      <c r="C174" s="1014"/>
    </row>
    <row r="175" spans="3:3" x14ac:dyDescent="0.35">
      <c r="C175" s="1014"/>
    </row>
    <row r="176" spans="3:3" x14ac:dyDescent="0.35">
      <c r="C176" s="1014"/>
    </row>
    <row r="177" spans="3:3" x14ac:dyDescent="0.35">
      <c r="C177" s="1014"/>
    </row>
    <row r="178" spans="3:3" x14ac:dyDescent="0.35">
      <c r="C178" s="1014"/>
    </row>
    <row r="179" spans="3:3" x14ac:dyDescent="0.35">
      <c r="C179" s="1014"/>
    </row>
    <row r="180" spans="3:3" x14ac:dyDescent="0.35">
      <c r="C180" s="1014"/>
    </row>
    <row r="181" spans="3:3" x14ac:dyDescent="0.35">
      <c r="C181" s="1014"/>
    </row>
    <row r="182" spans="3:3" x14ac:dyDescent="0.35">
      <c r="C182" s="1014"/>
    </row>
    <row r="183" spans="3:3" x14ac:dyDescent="0.35">
      <c r="C183" s="1014"/>
    </row>
    <row r="184" spans="3:3" x14ac:dyDescent="0.35">
      <c r="C184" s="1014"/>
    </row>
    <row r="185" spans="3:3" x14ac:dyDescent="0.35">
      <c r="C185" s="1014"/>
    </row>
    <row r="186" spans="3:3" x14ac:dyDescent="0.35">
      <c r="C186" s="1014"/>
    </row>
    <row r="187" spans="3:3" x14ac:dyDescent="0.35">
      <c r="C187" s="1014"/>
    </row>
    <row r="188" spans="3:3" x14ac:dyDescent="0.35">
      <c r="C188" s="1014"/>
    </row>
    <row r="189" spans="3:3" x14ac:dyDescent="0.35">
      <c r="C189" s="1014"/>
    </row>
    <row r="190" spans="3:3" x14ac:dyDescent="0.35">
      <c r="C190" s="1014"/>
    </row>
    <row r="191" spans="3:3" x14ac:dyDescent="0.35">
      <c r="C191" s="1014"/>
    </row>
    <row r="192" spans="3:3" x14ac:dyDescent="0.35">
      <c r="C192" s="1014"/>
    </row>
    <row r="193" spans="3:3" x14ac:dyDescent="0.35">
      <c r="C193" s="1014"/>
    </row>
    <row r="194" spans="3:3" x14ac:dyDescent="0.35">
      <c r="C194" s="1014"/>
    </row>
    <row r="195" spans="3:3" x14ac:dyDescent="0.35">
      <c r="C195" s="1014"/>
    </row>
    <row r="196" spans="3:3" x14ac:dyDescent="0.35">
      <c r="C196" s="1014"/>
    </row>
    <row r="197" spans="3:3" x14ac:dyDescent="0.35">
      <c r="C197" s="1014"/>
    </row>
    <row r="198" spans="3:3" x14ac:dyDescent="0.35">
      <c r="C198" s="1014"/>
    </row>
    <row r="199" spans="3:3" x14ac:dyDescent="0.35">
      <c r="C199" s="1014"/>
    </row>
    <row r="200" spans="3:3" x14ac:dyDescent="0.35">
      <c r="C200" s="1014"/>
    </row>
    <row r="201" spans="3:3" x14ac:dyDescent="0.35">
      <c r="C201" s="1014"/>
    </row>
    <row r="202" spans="3:3" x14ac:dyDescent="0.35">
      <c r="C202" s="1014"/>
    </row>
    <row r="203" spans="3:3" x14ac:dyDescent="0.35">
      <c r="C203" s="1014"/>
    </row>
    <row r="204" spans="3:3" x14ac:dyDescent="0.35">
      <c r="C204" s="1014"/>
    </row>
    <row r="205" spans="3:3" x14ac:dyDescent="0.35">
      <c r="C205" s="1014"/>
    </row>
    <row r="206" spans="3:3" x14ac:dyDescent="0.35">
      <c r="C206" s="1014"/>
    </row>
    <row r="207" spans="3:3" x14ac:dyDescent="0.35">
      <c r="C207" s="1014"/>
    </row>
    <row r="208" spans="3:3" x14ac:dyDescent="0.35">
      <c r="C208" s="1014"/>
    </row>
    <row r="209" spans="3:3" x14ac:dyDescent="0.35">
      <c r="C209" s="1014"/>
    </row>
    <row r="210" spans="3:3" x14ac:dyDescent="0.35">
      <c r="C210" s="1014"/>
    </row>
    <row r="211" spans="3:3" x14ac:dyDescent="0.35">
      <c r="C211" s="1014"/>
    </row>
    <row r="212" spans="3:3" x14ac:dyDescent="0.35">
      <c r="C212" s="1014"/>
    </row>
    <row r="213" spans="3:3" x14ac:dyDescent="0.35">
      <c r="C213" s="1014"/>
    </row>
    <row r="214" spans="3:3" x14ac:dyDescent="0.35">
      <c r="C214" s="1014"/>
    </row>
    <row r="215" spans="3:3" x14ac:dyDescent="0.35">
      <c r="C215" s="1014"/>
    </row>
    <row r="216" spans="3:3" x14ac:dyDescent="0.35">
      <c r="C216" s="1014"/>
    </row>
    <row r="217" spans="3:3" x14ac:dyDescent="0.35">
      <c r="C217" s="1014"/>
    </row>
    <row r="218" spans="3:3" x14ac:dyDescent="0.35">
      <c r="C218" s="1014"/>
    </row>
    <row r="219" spans="3:3" x14ac:dyDescent="0.35">
      <c r="C219" s="1014"/>
    </row>
    <row r="220" spans="3:3" x14ac:dyDescent="0.35">
      <c r="C220" s="1014"/>
    </row>
    <row r="221" spans="3:3" x14ac:dyDescent="0.35">
      <c r="C221" s="1014"/>
    </row>
    <row r="222" spans="3:3" x14ac:dyDescent="0.35">
      <c r="C222" s="1014"/>
    </row>
    <row r="223" spans="3:3" x14ac:dyDescent="0.35">
      <c r="C223" s="1014"/>
    </row>
    <row r="224" spans="3:3" x14ac:dyDescent="0.35">
      <c r="C224" s="1014"/>
    </row>
    <row r="225" spans="3:3" x14ac:dyDescent="0.35">
      <c r="C225" s="1014"/>
    </row>
    <row r="226" spans="3:3" x14ac:dyDescent="0.35">
      <c r="C226" s="1014"/>
    </row>
    <row r="227" spans="3:3" x14ac:dyDescent="0.35">
      <c r="C227" s="1014"/>
    </row>
    <row r="228" spans="3:3" x14ac:dyDescent="0.35">
      <c r="C228" s="1014"/>
    </row>
    <row r="229" spans="3:3" x14ac:dyDescent="0.35">
      <c r="C229" s="1014"/>
    </row>
    <row r="230" spans="3:3" x14ac:dyDescent="0.35">
      <c r="C230" s="1014"/>
    </row>
    <row r="231" spans="3:3" x14ac:dyDescent="0.35">
      <c r="C231" s="1014"/>
    </row>
    <row r="232" spans="3:3" x14ac:dyDescent="0.35">
      <c r="C232" s="1014"/>
    </row>
    <row r="233" spans="3:3" x14ac:dyDescent="0.35">
      <c r="C233" s="1014"/>
    </row>
    <row r="234" spans="3:3" x14ac:dyDescent="0.35">
      <c r="C234" s="1014"/>
    </row>
    <row r="235" spans="3:3" x14ac:dyDescent="0.35">
      <c r="C235" s="1014"/>
    </row>
    <row r="236" spans="3:3" x14ac:dyDescent="0.35">
      <c r="C236" s="1014"/>
    </row>
    <row r="237" spans="3:3" x14ac:dyDescent="0.35">
      <c r="C237" s="1014"/>
    </row>
    <row r="238" spans="3:3" x14ac:dyDescent="0.35">
      <c r="C238" s="1014"/>
    </row>
    <row r="239" spans="3:3" x14ac:dyDescent="0.35">
      <c r="C239" s="1014"/>
    </row>
    <row r="240" spans="3:3" x14ac:dyDescent="0.35">
      <c r="C240" s="1014"/>
    </row>
    <row r="241" spans="3:3" x14ac:dyDescent="0.35">
      <c r="C241" s="1014"/>
    </row>
    <row r="242" spans="3:3" x14ac:dyDescent="0.35">
      <c r="C242" s="1014"/>
    </row>
    <row r="243" spans="3:3" x14ac:dyDescent="0.35">
      <c r="C243" s="1014"/>
    </row>
    <row r="244" spans="3:3" x14ac:dyDescent="0.35">
      <c r="C244" s="1014"/>
    </row>
    <row r="245" spans="3:3" x14ac:dyDescent="0.35">
      <c r="C245" s="1014"/>
    </row>
    <row r="246" spans="3:3" x14ac:dyDescent="0.35">
      <c r="C246" s="1014"/>
    </row>
    <row r="247" spans="3:3" x14ac:dyDescent="0.35">
      <c r="C247" s="1014"/>
    </row>
    <row r="248" spans="3:3" x14ac:dyDescent="0.35">
      <c r="C248" s="1014"/>
    </row>
    <row r="249" spans="3:3" x14ac:dyDescent="0.35">
      <c r="C249" s="1014"/>
    </row>
    <row r="250" spans="3:3" x14ac:dyDescent="0.35">
      <c r="C250" s="1014"/>
    </row>
    <row r="251" spans="3:3" x14ac:dyDescent="0.35">
      <c r="C251" s="1014"/>
    </row>
    <row r="252" spans="3:3" x14ac:dyDescent="0.35">
      <c r="C252" s="1014"/>
    </row>
    <row r="253" spans="3:3" x14ac:dyDescent="0.35">
      <c r="C253" s="1014"/>
    </row>
    <row r="254" spans="3:3" x14ac:dyDescent="0.35">
      <c r="C254" s="1014"/>
    </row>
    <row r="255" spans="3:3" x14ac:dyDescent="0.35">
      <c r="C255" s="1014"/>
    </row>
    <row r="256" spans="3:3" x14ac:dyDescent="0.35">
      <c r="C256" s="1014"/>
    </row>
    <row r="257" spans="3:3" x14ac:dyDescent="0.35">
      <c r="C257" s="1014"/>
    </row>
    <row r="258" spans="3:3" x14ac:dyDescent="0.35">
      <c r="C258" s="1014"/>
    </row>
    <row r="259" spans="3:3" x14ac:dyDescent="0.35">
      <c r="C259" s="1014"/>
    </row>
    <row r="260" spans="3:3" x14ac:dyDescent="0.35">
      <c r="C260" s="1014"/>
    </row>
    <row r="261" spans="3:3" x14ac:dyDescent="0.35">
      <c r="C261" s="1014"/>
    </row>
    <row r="262" spans="3:3" x14ac:dyDescent="0.35">
      <c r="C262" s="1014"/>
    </row>
    <row r="263" spans="3:3" x14ac:dyDescent="0.35">
      <c r="C263" s="1014"/>
    </row>
    <row r="264" spans="3:3" x14ac:dyDescent="0.35">
      <c r="C264" s="1014"/>
    </row>
    <row r="265" spans="3:3" x14ac:dyDescent="0.35">
      <c r="C265" s="1014"/>
    </row>
    <row r="266" spans="3:3" x14ac:dyDescent="0.35">
      <c r="C266" s="1014"/>
    </row>
    <row r="267" spans="3:3" x14ac:dyDescent="0.35">
      <c r="C267" s="1014"/>
    </row>
    <row r="268" spans="3:3" x14ac:dyDescent="0.35">
      <c r="C268" s="1014"/>
    </row>
    <row r="269" spans="3:3" x14ac:dyDescent="0.35">
      <c r="C269" s="1014"/>
    </row>
    <row r="270" spans="3:3" x14ac:dyDescent="0.35">
      <c r="C270" s="1014"/>
    </row>
    <row r="271" spans="3:3" x14ac:dyDescent="0.35">
      <c r="C271" s="1014"/>
    </row>
    <row r="272" spans="3:3" x14ac:dyDescent="0.35">
      <c r="C272" s="1014"/>
    </row>
    <row r="273" spans="3:3" x14ac:dyDescent="0.35">
      <c r="C273" s="1014"/>
    </row>
    <row r="274" spans="3:3" x14ac:dyDescent="0.35">
      <c r="C274" s="1014"/>
    </row>
    <row r="275" spans="3:3" x14ac:dyDescent="0.35">
      <c r="C275" s="1014"/>
    </row>
    <row r="276" spans="3:3" x14ac:dyDescent="0.35">
      <c r="C276" s="1014"/>
    </row>
    <row r="277" spans="3:3" x14ac:dyDescent="0.35">
      <c r="C277" s="1014"/>
    </row>
    <row r="278" spans="3:3" x14ac:dyDescent="0.35">
      <c r="C278" s="1014"/>
    </row>
    <row r="279" spans="3:3" x14ac:dyDescent="0.35">
      <c r="C279" s="1014"/>
    </row>
    <row r="280" spans="3:3" x14ac:dyDescent="0.35">
      <c r="C280" s="1014"/>
    </row>
    <row r="281" spans="3:3" x14ac:dyDescent="0.35">
      <c r="C281" s="1014"/>
    </row>
    <row r="282" spans="3:3" x14ac:dyDescent="0.35">
      <c r="C282" s="1014"/>
    </row>
    <row r="283" spans="3:3" x14ac:dyDescent="0.35">
      <c r="C283" s="1014"/>
    </row>
    <row r="284" spans="3:3" x14ac:dyDescent="0.35">
      <c r="C284" s="1014"/>
    </row>
    <row r="285" spans="3:3" x14ac:dyDescent="0.35">
      <c r="C285" s="1014"/>
    </row>
    <row r="286" spans="3:3" x14ac:dyDescent="0.35">
      <c r="C286" s="1014"/>
    </row>
    <row r="287" spans="3:3" x14ac:dyDescent="0.35">
      <c r="C287" s="1014"/>
    </row>
    <row r="288" spans="3:3" x14ac:dyDescent="0.35">
      <c r="C288" s="1014"/>
    </row>
    <row r="289" spans="3:3" x14ac:dyDescent="0.35">
      <c r="C289" s="1014"/>
    </row>
    <row r="290" spans="3:3" x14ac:dyDescent="0.35">
      <c r="C290" s="1014"/>
    </row>
    <row r="291" spans="3:3" x14ac:dyDescent="0.35">
      <c r="C291" s="1014"/>
    </row>
    <row r="292" spans="3:3" x14ac:dyDescent="0.35">
      <c r="C292" s="1014"/>
    </row>
    <row r="293" spans="3:3" x14ac:dyDescent="0.35">
      <c r="C293" s="1014"/>
    </row>
    <row r="294" spans="3:3" x14ac:dyDescent="0.35">
      <c r="C294" s="1014"/>
    </row>
    <row r="295" spans="3:3" x14ac:dyDescent="0.35">
      <c r="C295" s="1014"/>
    </row>
    <row r="296" spans="3:3" x14ac:dyDescent="0.35">
      <c r="C296" s="1014"/>
    </row>
    <row r="297" spans="3:3" x14ac:dyDescent="0.35">
      <c r="C297" s="1014"/>
    </row>
    <row r="298" spans="3:3" x14ac:dyDescent="0.35">
      <c r="C298" s="1014"/>
    </row>
    <row r="299" spans="3:3" x14ac:dyDescent="0.35">
      <c r="C299" s="1014"/>
    </row>
    <row r="300" spans="3:3" x14ac:dyDescent="0.35">
      <c r="C300" s="1014"/>
    </row>
    <row r="301" spans="3:3" x14ac:dyDescent="0.35">
      <c r="C301" s="1014"/>
    </row>
    <row r="302" spans="3:3" x14ac:dyDescent="0.35">
      <c r="C302" s="1014"/>
    </row>
    <row r="303" spans="3:3" x14ac:dyDescent="0.35">
      <c r="C303" s="1014"/>
    </row>
    <row r="304" spans="3:3" x14ac:dyDescent="0.35">
      <c r="C304" s="1014"/>
    </row>
    <row r="305" spans="3:3" x14ac:dyDescent="0.35">
      <c r="C305" s="1014"/>
    </row>
    <row r="306" spans="3:3" x14ac:dyDescent="0.35">
      <c r="C306" s="1014"/>
    </row>
    <row r="307" spans="3:3" x14ac:dyDescent="0.35">
      <c r="C307" s="1014"/>
    </row>
    <row r="308" spans="3:3" x14ac:dyDescent="0.35">
      <c r="C308" s="1014"/>
    </row>
    <row r="309" spans="3:3" x14ac:dyDescent="0.35">
      <c r="C309" s="1014"/>
    </row>
    <row r="310" spans="3:3" x14ac:dyDescent="0.35">
      <c r="C310" s="1014"/>
    </row>
    <row r="311" spans="3:3" x14ac:dyDescent="0.35">
      <c r="C311" s="1014"/>
    </row>
    <row r="312" spans="3:3" x14ac:dyDescent="0.35">
      <c r="C312" s="1014"/>
    </row>
    <row r="313" spans="3:3" x14ac:dyDescent="0.35">
      <c r="C313" s="1014"/>
    </row>
    <row r="314" spans="3:3" x14ac:dyDescent="0.35">
      <c r="C314" s="1014"/>
    </row>
    <row r="315" spans="3:3" x14ac:dyDescent="0.35">
      <c r="C315" s="1014"/>
    </row>
    <row r="316" spans="3:3" x14ac:dyDescent="0.35">
      <c r="C316" s="1014"/>
    </row>
    <row r="317" spans="3:3" x14ac:dyDescent="0.35">
      <c r="C317" s="1014"/>
    </row>
    <row r="318" spans="3:3" x14ac:dyDescent="0.35">
      <c r="C318" s="1014"/>
    </row>
    <row r="319" spans="3:3" x14ac:dyDescent="0.35">
      <c r="C319" s="1014"/>
    </row>
    <row r="320" spans="3:3" x14ac:dyDescent="0.35">
      <c r="C320" s="1014"/>
    </row>
    <row r="321" spans="3:3" x14ac:dyDescent="0.35">
      <c r="C321" s="1014"/>
    </row>
    <row r="322" spans="3:3" x14ac:dyDescent="0.35">
      <c r="C322" s="1014"/>
    </row>
    <row r="323" spans="3:3" x14ac:dyDescent="0.35">
      <c r="C323" s="1014"/>
    </row>
    <row r="324" spans="3:3" x14ac:dyDescent="0.35">
      <c r="C324" s="1014"/>
    </row>
    <row r="325" spans="3:3" x14ac:dyDescent="0.35">
      <c r="C325" s="1014"/>
    </row>
    <row r="326" spans="3:3" x14ac:dyDescent="0.35">
      <c r="C326" s="1014"/>
    </row>
    <row r="327" spans="3:3" x14ac:dyDescent="0.35">
      <c r="C327" s="1014"/>
    </row>
    <row r="328" spans="3:3" x14ac:dyDescent="0.35">
      <c r="C328" s="1014"/>
    </row>
    <row r="329" spans="3:3" x14ac:dyDescent="0.35">
      <c r="C329" s="1014"/>
    </row>
    <row r="330" spans="3:3" x14ac:dyDescent="0.35">
      <c r="C330" s="1014"/>
    </row>
    <row r="331" spans="3:3" x14ac:dyDescent="0.35">
      <c r="C331" s="1014"/>
    </row>
    <row r="332" spans="3:3" x14ac:dyDescent="0.35">
      <c r="C332" s="1014"/>
    </row>
    <row r="333" spans="3:3" x14ac:dyDescent="0.35">
      <c r="C333" s="1014"/>
    </row>
    <row r="334" spans="3:3" x14ac:dyDescent="0.35">
      <c r="C334" s="1014"/>
    </row>
    <row r="335" spans="3:3" x14ac:dyDescent="0.35">
      <c r="C335" s="1014"/>
    </row>
    <row r="336" spans="3:3" x14ac:dyDescent="0.35">
      <c r="C336" s="1014"/>
    </row>
    <row r="337" spans="3:3" x14ac:dyDescent="0.35">
      <c r="C337" s="1014"/>
    </row>
    <row r="338" spans="3:3" x14ac:dyDescent="0.35">
      <c r="C338" s="1014"/>
    </row>
    <row r="339" spans="3:3" x14ac:dyDescent="0.35">
      <c r="C339" s="1014"/>
    </row>
    <row r="340" spans="3:3" x14ac:dyDescent="0.35">
      <c r="C340" s="1014"/>
    </row>
    <row r="341" spans="3:3" x14ac:dyDescent="0.35">
      <c r="C341" s="1014"/>
    </row>
    <row r="342" spans="3:3" x14ac:dyDescent="0.35">
      <c r="C342" s="1014"/>
    </row>
    <row r="343" spans="3:3" x14ac:dyDescent="0.35">
      <c r="C343" s="1014"/>
    </row>
    <row r="344" spans="3:3" x14ac:dyDescent="0.35">
      <c r="C344" s="1014"/>
    </row>
    <row r="345" spans="3:3" x14ac:dyDescent="0.35">
      <c r="C345" s="1014"/>
    </row>
    <row r="346" spans="3:3" x14ac:dyDescent="0.35">
      <c r="C346" s="1014"/>
    </row>
    <row r="347" spans="3:3" x14ac:dyDescent="0.35">
      <c r="C347" s="1014"/>
    </row>
    <row r="348" spans="3:3" x14ac:dyDescent="0.35">
      <c r="C348" s="1014"/>
    </row>
    <row r="349" spans="3:3" x14ac:dyDescent="0.35">
      <c r="C349" s="1014"/>
    </row>
    <row r="350" spans="3:3" x14ac:dyDescent="0.35">
      <c r="C350" s="1014"/>
    </row>
    <row r="351" spans="3:3" x14ac:dyDescent="0.35">
      <c r="C351" s="1014"/>
    </row>
    <row r="352" spans="3:3" x14ac:dyDescent="0.35">
      <c r="C352" s="1014"/>
    </row>
    <row r="353" spans="3:3" x14ac:dyDescent="0.35">
      <c r="C353" s="1014"/>
    </row>
    <row r="354" spans="3:3" x14ac:dyDescent="0.35">
      <c r="C354" s="1014"/>
    </row>
    <row r="355" spans="3:3" x14ac:dyDescent="0.35">
      <c r="C355" s="1014"/>
    </row>
    <row r="356" spans="3:3" x14ac:dyDescent="0.35">
      <c r="C356" s="1014"/>
    </row>
    <row r="357" spans="3:3" x14ac:dyDescent="0.35">
      <c r="C357" s="1014"/>
    </row>
    <row r="358" spans="3:3" x14ac:dyDescent="0.35">
      <c r="C358" s="1014"/>
    </row>
    <row r="359" spans="3:3" x14ac:dyDescent="0.35">
      <c r="C359" s="1014"/>
    </row>
    <row r="360" spans="3:3" x14ac:dyDescent="0.35">
      <c r="C360" s="1014"/>
    </row>
    <row r="361" spans="3:3" x14ac:dyDescent="0.35">
      <c r="C361" s="1014"/>
    </row>
    <row r="362" spans="3:3" x14ac:dyDescent="0.35">
      <c r="C362" s="1014"/>
    </row>
    <row r="363" spans="3:3" x14ac:dyDescent="0.35">
      <c r="C363" s="1014"/>
    </row>
    <row r="364" spans="3:3" x14ac:dyDescent="0.35">
      <c r="C364" s="1014"/>
    </row>
    <row r="365" spans="3:3" x14ac:dyDescent="0.35">
      <c r="C365" s="1014"/>
    </row>
    <row r="366" spans="3:3" x14ac:dyDescent="0.35">
      <c r="C366" s="1014"/>
    </row>
    <row r="367" spans="3:3" x14ac:dyDescent="0.35">
      <c r="C367" s="1014"/>
    </row>
    <row r="368" spans="3:3" x14ac:dyDescent="0.35">
      <c r="C368" s="1014"/>
    </row>
    <row r="369" spans="3:3" x14ac:dyDescent="0.35">
      <c r="C369" s="1014"/>
    </row>
    <row r="370" spans="3:3" x14ac:dyDescent="0.35">
      <c r="C370" s="1014"/>
    </row>
    <row r="371" spans="3:3" x14ac:dyDescent="0.35">
      <c r="C371" s="1014"/>
    </row>
    <row r="372" spans="3:3" x14ac:dyDescent="0.35">
      <c r="C372" s="1014"/>
    </row>
    <row r="373" spans="3:3" x14ac:dyDescent="0.35">
      <c r="C373" s="1014"/>
    </row>
    <row r="374" spans="3:3" x14ac:dyDescent="0.35">
      <c r="C374" s="1014"/>
    </row>
    <row r="375" spans="3:3" x14ac:dyDescent="0.35">
      <c r="C375" s="1014"/>
    </row>
    <row r="376" spans="3:3" x14ac:dyDescent="0.35">
      <c r="C376" s="1014"/>
    </row>
    <row r="377" spans="3:3" x14ac:dyDescent="0.35">
      <c r="C377" s="1014"/>
    </row>
    <row r="378" spans="3:3" x14ac:dyDescent="0.35">
      <c r="C378" s="1014"/>
    </row>
    <row r="379" spans="3:3" x14ac:dyDescent="0.35">
      <c r="C379" s="1014"/>
    </row>
    <row r="380" spans="3:3" x14ac:dyDescent="0.35">
      <c r="C380" s="1014"/>
    </row>
    <row r="381" spans="3:3" x14ac:dyDescent="0.35">
      <c r="C381" s="1014"/>
    </row>
    <row r="382" spans="3:3" x14ac:dyDescent="0.35">
      <c r="C382" s="1014"/>
    </row>
    <row r="383" spans="3:3" x14ac:dyDescent="0.35">
      <c r="C383" s="1014"/>
    </row>
    <row r="384" spans="3:3" x14ac:dyDescent="0.35">
      <c r="C384" s="1014"/>
    </row>
    <row r="385" spans="3:3" x14ac:dyDescent="0.35">
      <c r="C385" s="1014"/>
    </row>
    <row r="386" spans="3:3" x14ac:dyDescent="0.35">
      <c r="C386" s="1014"/>
    </row>
    <row r="387" spans="3:3" x14ac:dyDescent="0.35">
      <c r="C387" s="1014"/>
    </row>
    <row r="388" spans="3:3" x14ac:dyDescent="0.35">
      <c r="C388" s="1014"/>
    </row>
    <row r="389" spans="3:3" x14ac:dyDescent="0.35">
      <c r="C389" s="1014"/>
    </row>
    <row r="390" spans="3:3" x14ac:dyDescent="0.35">
      <c r="C390" s="1014"/>
    </row>
    <row r="391" spans="3:3" x14ac:dyDescent="0.35">
      <c r="C391" s="1014"/>
    </row>
    <row r="392" spans="3:3" x14ac:dyDescent="0.35">
      <c r="C392" s="1014"/>
    </row>
    <row r="393" spans="3:3" x14ac:dyDescent="0.35">
      <c r="C393" s="1014"/>
    </row>
    <row r="394" spans="3:3" x14ac:dyDescent="0.35">
      <c r="C394" s="1014"/>
    </row>
    <row r="395" spans="3:3" x14ac:dyDescent="0.35">
      <c r="C395" s="1014"/>
    </row>
    <row r="396" spans="3:3" x14ac:dyDescent="0.35">
      <c r="C396" s="1014"/>
    </row>
    <row r="397" spans="3:3" x14ac:dyDescent="0.35">
      <c r="C397" s="1014"/>
    </row>
    <row r="398" spans="3:3" x14ac:dyDescent="0.35">
      <c r="C398" s="1014"/>
    </row>
    <row r="399" spans="3:3" x14ac:dyDescent="0.35">
      <c r="C399" s="1014"/>
    </row>
    <row r="400" spans="3:3" x14ac:dyDescent="0.35">
      <c r="C400" s="1014"/>
    </row>
    <row r="401" spans="3:3" x14ac:dyDescent="0.35">
      <c r="C401" s="1014"/>
    </row>
    <row r="402" spans="3:3" x14ac:dyDescent="0.35">
      <c r="C402" s="1014"/>
    </row>
    <row r="403" spans="3:3" x14ac:dyDescent="0.35">
      <c r="C403" s="1014"/>
    </row>
    <row r="404" spans="3:3" x14ac:dyDescent="0.35">
      <c r="C404" s="1014"/>
    </row>
    <row r="405" spans="3:3" x14ac:dyDescent="0.35">
      <c r="C405" s="1014"/>
    </row>
    <row r="406" spans="3:3" x14ac:dyDescent="0.35">
      <c r="C406" s="1014"/>
    </row>
    <row r="407" spans="3:3" x14ac:dyDescent="0.35">
      <c r="C407" s="1014"/>
    </row>
    <row r="408" spans="3:3" x14ac:dyDescent="0.35">
      <c r="C408" s="1014"/>
    </row>
    <row r="409" spans="3:3" x14ac:dyDescent="0.35">
      <c r="C409" s="1014"/>
    </row>
    <row r="410" spans="3:3" x14ac:dyDescent="0.35">
      <c r="C410" s="1014"/>
    </row>
    <row r="411" spans="3:3" x14ac:dyDescent="0.35">
      <c r="C411" s="1014"/>
    </row>
    <row r="412" spans="3:3" x14ac:dyDescent="0.35">
      <c r="C412" s="1014"/>
    </row>
    <row r="413" spans="3:3" x14ac:dyDescent="0.35">
      <c r="C413" s="1014"/>
    </row>
    <row r="414" spans="3:3" x14ac:dyDescent="0.35">
      <c r="C414" s="1014"/>
    </row>
    <row r="415" spans="3:3" x14ac:dyDescent="0.35">
      <c r="C415" s="1014"/>
    </row>
    <row r="416" spans="3:3" x14ac:dyDescent="0.35">
      <c r="C416" s="1014"/>
    </row>
    <row r="417" spans="3:3" x14ac:dyDescent="0.35">
      <c r="C417" s="1014"/>
    </row>
    <row r="418" spans="3:3" x14ac:dyDescent="0.35">
      <c r="C418" s="1014"/>
    </row>
    <row r="419" spans="3:3" x14ac:dyDescent="0.35">
      <c r="C419" s="1014"/>
    </row>
    <row r="420" spans="3:3" x14ac:dyDescent="0.35">
      <c r="C420" s="1014"/>
    </row>
    <row r="421" spans="3:3" x14ac:dyDescent="0.35">
      <c r="C421" s="1014"/>
    </row>
    <row r="422" spans="3:3" x14ac:dyDescent="0.35">
      <c r="C422" s="1014"/>
    </row>
    <row r="423" spans="3:3" x14ac:dyDescent="0.35">
      <c r="C423" s="1014"/>
    </row>
    <row r="424" spans="3:3" x14ac:dyDescent="0.35">
      <c r="C424" s="1014"/>
    </row>
    <row r="425" spans="3:3" x14ac:dyDescent="0.35">
      <c r="C425" s="1014"/>
    </row>
    <row r="426" spans="3:3" x14ac:dyDescent="0.35">
      <c r="C426" s="1014"/>
    </row>
    <row r="427" spans="3:3" x14ac:dyDescent="0.35">
      <c r="C427" s="1014"/>
    </row>
    <row r="428" spans="3:3" x14ac:dyDescent="0.35">
      <c r="C428" s="1014"/>
    </row>
    <row r="429" spans="3:3" x14ac:dyDescent="0.35">
      <c r="C429" s="1014"/>
    </row>
    <row r="430" spans="3:3" x14ac:dyDescent="0.35">
      <c r="C430" s="1014"/>
    </row>
    <row r="431" spans="3:3" x14ac:dyDescent="0.35">
      <c r="C431" s="1014"/>
    </row>
    <row r="432" spans="3:3" x14ac:dyDescent="0.35">
      <c r="C432" s="1014"/>
    </row>
    <row r="433" spans="3:3" x14ac:dyDescent="0.35">
      <c r="C433" s="1014"/>
    </row>
    <row r="434" spans="3:3" x14ac:dyDescent="0.35">
      <c r="C434" s="1014"/>
    </row>
    <row r="435" spans="3:3" x14ac:dyDescent="0.35">
      <c r="C435" s="1014"/>
    </row>
    <row r="436" spans="3:3" x14ac:dyDescent="0.35">
      <c r="C436" s="1014"/>
    </row>
    <row r="437" spans="3:3" x14ac:dyDescent="0.35">
      <c r="C437" s="1014"/>
    </row>
    <row r="438" spans="3:3" x14ac:dyDescent="0.35">
      <c r="C438" s="1014"/>
    </row>
    <row r="439" spans="3:3" x14ac:dyDescent="0.35">
      <c r="C439" s="1014"/>
    </row>
    <row r="440" spans="3:3" x14ac:dyDescent="0.35">
      <c r="C440" s="1014"/>
    </row>
    <row r="441" spans="3:3" x14ac:dyDescent="0.35">
      <c r="C441" s="1014"/>
    </row>
    <row r="442" spans="3:3" x14ac:dyDescent="0.35">
      <c r="C442" s="1014"/>
    </row>
    <row r="443" spans="3:3" x14ac:dyDescent="0.35">
      <c r="C443" s="1014"/>
    </row>
    <row r="444" spans="3:3" x14ac:dyDescent="0.35">
      <c r="C444" s="1014"/>
    </row>
    <row r="445" spans="3:3" x14ac:dyDescent="0.35">
      <c r="C445" s="1014"/>
    </row>
    <row r="446" spans="3:3" x14ac:dyDescent="0.35">
      <c r="C446" s="1014"/>
    </row>
    <row r="447" spans="3:3" x14ac:dyDescent="0.35">
      <c r="C447" s="1014"/>
    </row>
    <row r="448" spans="3:3" x14ac:dyDescent="0.35">
      <c r="C448" s="1014"/>
    </row>
    <row r="449" spans="3:3" x14ac:dyDescent="0.35">
      <c r="C449" s="1014"/>
    </row>
    <row r="450" spans="3:3" x14ac:dyDescent="0.35">
      <c r="C450" s="1014"/>
    </row>
    <row r="451" spans="3:3" x14ac:dyDescent="0.35">
      <c r="C451" s="1014"/>
    </row>
    <row r="452" spans="3:3" x14ac:dyDescent="0.35">
      <c r="C452" s="1014"/>
    </row>
    <row r="453" spans="3:3" x14ac:dyDescent="0.35">
      <c r="C453" s="1014"/>
    </row>
    <row r="454" spans="3:3" x14ac:dyDescent="0.35">
      <c r="C454" s="1014"/>
    </row>
    <row r="455" spans="3:3" x14ac:dyDescent="0.35">
      <c r="C455" s="1014"/>
    </row>
    <row r="456" spans="3:3" x14ac:dyDescent="0.35">
      <c r="C456" s="1014"/>
    </row>
    <row r="457" spans="3:3" x14ac:dyDescent="0.35">
      <c r="C457" s="1014"/>
    </row>
    <row r="458" spans="3:3" x14ac:dyDescent="0.35">
      <c r="C458" s="1014"/>
    </row>
    <row r="459" spans="3:3" x14ac:dyDescent="0.35">
      <c r="C459" s="1014"/>
    </row>
    <row r="460" spans="3:3" x14ac:dyDescent="0.35">
      <c r="C460" s="1014"/>
    </row>
    <row r="461" spans="3:3" x14ac:dyDescent="0.35">
      <c r="C461" s="1014"/>
    </row>
    <row r="462" spans="3:3" x14ac:dyDescent="0.35">
      <c r="C462" s="1014"/>
    </row>
    <row r="463" spans="3:3" x14ac:dyDescent="0.35">
      <c r="C463" s="1014"/>
    </row>
    <row r="464" spans="3:3" x14ac:dyDescent="0.35">
      <c r="C464" s="1014"/>
    </row>
    <row r="465" spans="3:3" x14ac:dyDescent="0.35">
      <c r="C465" s="1014"/>
    </row>
    <row r="466" spans="3:3" x14ac:dyDescent="0.35">
      <c r="C466" s="1014"/>
    </row>
    <row r="467" spans="3:3" x14ac:dyDescent="0.35">
      <c r="C467" s="1014"/>
    </row>
    <row r="468" spans="3:3" x14ac:dyDescent="0.35">
      <c r="C468" s="1014"/>
    </row>
    <row r="469" spans="3:3" x14ac:dyDescent="0.35">
      <c r="C469" s="1014"/>
    </row>
    <row r="470" spans="3:3" x14ac:dyDescent="0.35">
      <c r="C470" s="1014"/>
    </row>
    <row r="471" spans="3:3" x14ac:dyDescent="0.35">
      <c r="C471" s="1014"/>
    </row>
    <row r="472" spans="3:3" x14ac:dyDescent="0.35">
      <c r="C472" s="1014"/>
    </row>
    <row r="473" spans="3:3" x14ac:dyDescent="0.35">
      <c r="C473" s="1014"/>
    </row>
    <row r="474" spans="3:3" x14ac:dyDescent="0.35">
      <c r="C474" s="1014"/>
    </row>
    <row r="475" spans="3:3" x14ac:dyDescent="0.35">
      <c r="C475" s="1014"/>
    </row>
    <row r="476" spans="3:3" x14ac:dyDescent="0.35">
      <c r="C476" s="1014"/>
    </row>
    <row r="477" spans="3:3" x14ac:dyDescent="0.35">
      <c r="C477" s="1014"/>
    </row>
    <row r="478" spans="3:3" x14ac:dyDescent="0.35">
      <c r="C478" s="1014"/>
    </row>
    <row r="479" spans="3:3" x14ac:dyDescent="0.35">
      <c r="C479" s="1014"/>
    </row>
    <row r="480" spans="3:3" x14ac:dyDescent="0.35">
      <c r="C480" s="1014"/>
    </row>
    <row r="481" spans="3:3" x14ac:dyDescent="0.35">
      <c r="C481" s="1014"/>
    </row>
    <row r="482" spans="3:3" x14ac:dyDescent="0.35">
      <c r="C482" s="1014"/>
    </row>
    <row r="483" spans="3:3" x14ac:dyDescent="0.35">
      <c r="C483" s="1014"/>
    </row>
    <row r="484" spans="3:3" x14ac:dyDescent="0.35">
      <c r="C484" s="1014"/>
    </row>
    <row r="485" spans="3:3" x14ac:dyDescent="0.35">
      <c r="C485" s="1014"/>
    </row>
    <row r="486" spans="3:3" x14ac:dyDescent="0.35">
      <c r="C486" s="1014"/>
    </row>
    <row r="487" spans="3:3" x14ac:dyDescent="0.35">
      <c r="C487" s="1014"/>
    </row>
    <row r="488" spans="3:3" x14ac:dyDescent="0.35">
      <c r="C488" s="1014"/>
    </row>
    <row r="489" spans="3:3" x14ac:dyDescent="0.35">
      <c r="C489" s="1014"/>
    </row>
    <row r="490" spans="3:3" x14ac:dyDescent="0.35">
      <c r="C490" s="1014"/>
    </row>
    <row r="491" spans="3:3" x14ac:dyDescent="0.35">
      <c r="C491" s="1014"/>
    </row>
    <row r="492" spans="3:3" x14ac:dyDescent="0.35">
      <c r="C492" s="1014"/>
    </row>
    <row r="493" spans="3:3" x14ac:dyDescent="0.35">
      <c r="C493" s="1014"/>
    </row>
    <row r="494" spans="3:3" x14ac:dyDescent="0.35">
      <c r="C494" s="1014"/>
    </row>
    <row r="495" spans="3:3" x14ac:dyDescent="0.35">
      <c r="C495" s="1014"/>
    </row>
    <row r="496" spans="3:3" x14ac:dyDescent="0.35">
      <c r="C496" s="1014"/>
    </row>
    <row r="497" spans="3:3" x14ac:dyDescent="0.35">
      <c r="C497" s="1014"/>
    </row>
    <row r="498" spans="3:3" x14ac:dyDescent="0.35">
      <c r="C498" s="1014"/>
    </row>
    <row r="499" spans="3:3" x14ac:dyDescent="0.35">
      <c r="C499" s="1014"/>
    </row>
    <row r="500" spans="3:3" x14ac:dyDescent="0.35">
      <c r="C500" s="1014"/>
    </row>
    <row r="501" spans="3:3" x14ac:dyDescent="0.35">
      <c r="C501" s="1014"/>
    </row>
    <row r="502" spans="3:3" x14ac:dyDescent="0.35">
      <c r="C502" s="1014"/>
    </row>
    <row r="503" spans="3:3" x14ac:dyDescent="0.35">
      <c r="C503" s="1014"/>
    </row>
    <row r="504" spans="3:3" x14ac:dyDescent="0.35">
      <c r="C504" s="1014"/>
    </row>
    <row r="505" spans="3:3" x14ac:dyDescent="0.35">
      <c r="C505" s="1014"/>
    </row>
    <row r="506" spans="3:3" x14ac:dyDescent="0.35">
      <c r="C506" s="1014"/>
    </row>
    <row r="507" spans="3:3" x14ac:dyDescent="0.35">
      <c r="C507" s="1014"/>
    </row>
    <row r="508" spans="3:3" x14ac:dyDescent="0.35">
      <c r="C508" s="1014"/>
    </row>
    <row r="509" spans="3:3" x14ac:dyDescent="0.35">
      <c r="C509" s="1014"/>
    </row>
    <row r="510" spans="3:3" x14ac:dyDescent="0.35">
      <c r="C510" s="1014"/>
    </row>
    <row r="511" spans="3:3" x14ac:dyDescent="0.35">
      <c r="C511" s="1014"/>
    </row>
    <row r="512" spans="3:3" x14ac:dyDescent="0.35">
      <c r="C512" s="1014"/>
    </row>
    <row r="513" spans="3:3" x14ac:dyDescent="0.35">
      <c r="C513" s="1014"/>
    </row>
    <row r="514" spans="3:3" x14ac:dyDescent="0.35">
      <c r="C514" s="1014"/>
    </row>
    <row r="515" spans="3:3" x14ac:dyDescent="0.35">
      <c r="C515" s="1014"/>
    </row>
    <row r="516" spans="3:3" x14ac:dyDescent="0.35">
      <c r="C516" s="1014"/>
    </row>
    <row r="517" spans="3:3" x14ac:dyDescent="0.35">
      <c r="C517" s="1014"/>
    </row>
    <row r="518" spans="3:3" x14ac:dyDescent="0.35">
      <c r="C518" s="1014"/>
    </row>
    <row r="519" spans="3:3" x14ac:dyDescent="0.35">
      <c r="C519" s="1014"/>
    </row>
    <row r="520" spans="3:3" x14ac:dyDescent="0.35">
      <c r="C520" s="1014"/>
    </row>
    <row r="521" spans="3:3" x14ac:dyDescent="0.35">
      <c r="C521" s="1014"/>
    </row>
    <row r="522" spans="3:3" x14ac:dyDescent="0.35">
      <c r="C522" s="1014"/>
    </row>
    <row r="523" spans="3:3" x14ac:dyDescent="0.35">
      <c r="C523" s="1014"/>
    </row>
    <row r="524" spans="3:3" x14ac:dyDescent="0.35">
      <c r="C524" s="1014"/>
    </row>
    <row r="525" spans="3:3" x14ac:dyDescent="0.35">
      <c r="C525" s="1014"/>
    </row>
    <row r="526" spans="3:3" x14ac:dyDescent="0.35">
      <c r="C526" s="1014"/>
    </row>
    <row r="527" spans="3:3" x14ac:dyDescent="0.35">
      <c r="C527" s="1014"/>
    </row>
    <row r="528" spans="3:3" x14ac:dyDescent="0.35">
      <c r="C528" s="1014"/>
    </row>
    <row r="529" spans="3:3" x14ac:dyDescent="0.35">
      <c r="C529" s="1014"/>
    </row>
    <row r="530" spans="3:3" x14ac:dyDescent="0.35">
      <c r="C530" s="1014"/>
    </row>
    <row r="531" spans="3:3" x14ac:dyDescent="0.35">
      <c r="C531" s="1014"/>
    </row>
    <row r="532" spans="3:3" x14ac:dyDescent="0.35">
      <c r="C532" s="1014"/>
    </row>
    <row r="533" spans="3:3" x14ac:dyDescent="0.35">
      <c r="C533" s="1014"/>
    </row>
    <row r="534" spans="3:3" x14ac:dyDescent="0.35">
      <c r="C534" s="1014"/>
    </row>
    <row r="535" spans="3:3" x14ac:dyDescent="0.35">
      <c r="C535" s="1014"/>
    </row>
    <row r="536" spans="3:3" x14ac:dyDescent="0.35">
      <c r="C536" s="1014"/>
    </row>
    <row r="537" spans="3:3" x14ac:dyDescent="0.35">
      <c r="C537" s="1014"/>
    </row>
    <row r="538" spans="3:3" x14ac:dyDescent="0.35">
      <c r="C538" s="1014"/>
    </row>
    <row r="539" spans="3:3" x14ac:dyDescent="0.35">
      <c r="C539" s="1014"/>
    </row>
    <row r="540" spans="3:3" x14ac:dyDescent="0.35">
      <c r="C540" s="1014"/>
    </row>
    <row r="541" spans="3:3" x14ac:dyDescent="0.35">
      <c r="C541" s="1014"/>
    </row>
    <row r="542" spans="3:3" x14ac:dyDescent="0.35">
      <c r="C542" s="1014"/>
    </row>
    <row r="543" spans="3:3" x14ac:dyDescent="0.35">
      <c r="C543" s="1014"/>
    </row>
    <row r="544" spans="3:3" x14ac:dyDescent="0.35">
      <c r="C544" s="1014"/>
    </row>
    <row r="545" spans="3:3" x14ac:dyDescent="0.35">
      <c r="C545" s="1014"/>
    </row>
    <row r="546" spans="3:3" x14ac:dyDescent="0.35">
      <c r="C546" s="1014"/>
    </row>
    <row r="547" spans="3:3" x14ac:dyDescent="0.35">
      <c r="C547" s="1014"/>
    </row>
    <row r="548" spans="3:3" x14ac:dyDescent="0.35">
      <c r="C548" s="1014"/>
    </row>
    <row r="549" spans="3:3" x14ac:dyDescent="0.35">
      <c r="C549" s="1014"/>
    </row>
  </sheetData>
  <sheetProtection algorithmName="SHA-512" hashValue="iG7OGah/eumgB30+/qsp59gYcjImpyvuoNU6u3VvqGpT0by74b9PiK4mmbejG3vZ72b1Mt1/yhcaKbwpHfICpA==" saltValue="yzM9DPN6N7d0nGgD37W1fw==" spinCount="100000" sheet="1"/>
  <mergeCells count="11">
    <mergeCell ref="J33:L33"/>
    <mergeCell ref="M33:O33"/>
    <mergeCell ref="A31:O31"/>
    <mergeCell ref="A9:O9"/>
    <mergeCell ref="K1:P1"/>
    <mergeCell ref="B1:G1"/>
    <mergeCell ref="D32:E32"/>
    <mergeCell ref="D10:E10"/>
    <mergeCell ref="B33:D33"/>
    <mergeCell ref="E33:F33"/>
    <mergeCell ref="G33:I3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D778-8893-4DE1-8446-34DDB3BF5D58}">
  <sheetPr>
    <tabColor rgb="FF009999"/>
  </sheetPr>
  <dimension ref="A1:L15"/>
  <sheetViews>
    <sheetView zoomScale="80" zoomScaleNormal="80" workbookViewId="0">
      <selection activeCell="L8" sqref="L8"/>
    </sheetView>
  </sheetViews>
  <sheetFormatPr baseColWidth="10" defaultColWidth="8.81640625" defaultRowHeight="14.5" x14ac:dyDescent="0.35"/>
  <cols>
    <col min="1" max="1" width="18.7265625" style="689" customWidth="1"/>
    <col min="2" max="2" width="13" style="689" bestFit="1" customWidth="1"/>
    <col min="3" max="3" width="15.54296875" style="689" bestFit="1" customWidth="1"/>
    <col min="4" max="4" width="14" style="689" bestFit="1" customWidth="1"/>
    <col min="5" max="5" width="12.453125" style="689" bestFit="1" customWidth="1"/>
    <col min="6" max="7" width="14" style="689" bestFit="1" customWidth="1"/>
    <col min="8" max="8" width="16.7265625" style="689" customWidth="1"/>
    <col min="9" max="9" width="12.54296875" style="689" bestFit="1" customWidth="1"/>
    <col min="10" max="10" width="16.81640625" style="689" bestFit="1" customWidth="1"/>
    <col min="11" max="11" width="14.26953125" style="689" bestFit="1" customWidth="1"/>
    <col min="12" max="12" width="14.81640625" style="689" bestFit="1" customWidth="1"/>
    <col min="13" max="13" width="13" style="689" bestFit="1" customWidth="1"/>
    <col min="14" max="14" width="13.1796875" style="689" customWidth="1"/>
    <col min="15" max="15" width="15" style="689" customWidth="1"/>
    <col min="16" max="16384" width="8.81640625" style="689"/>
  </cols>
  <sheetData>
    <row r="1" spans="1:12" ht="49.5" customHeight="1" thickBot="1" x14ac:dyDescent="0.4">
      <c r="A1" s="1020" t="s">
        <v>124</v>
      </c>
      <c r="B1" s="1584" t="s">
        <v>880</v>
      </c>
      <c r="C1" s="1582"/>
      <c r="D1" s="1582"/>
      <c r="E1" s="1583"/>
      <c r="G1" s="1471" t="s">
        <v>318</v>
      </c>
      <c r="H1" s="1472"/>
      <c r="I1" s="1472"/>
      <c r="J1" s="1472"/>
      <c r="K1" s="1472"/>
      <c r="L1" s="1473"/>
    </row>
    <row r="2" spans="1:12" x14ac:dyDescent="0.35">
      <c r="B2" s="763"/>
      <c r="C2" s="1013"/>
      <c r="D2" s="1014"/>
      <c r="G2" s="831" t="s">
        <v>319</v>
      </c>
      <c r="H2" s="832"/>
      <c r="I2" s="833" t="s">
        <v>320</v>
      </c>
      <c r="J2" s="834"/>
      <c r="K2" s="833" t="s">
        <v>321</v>
      </c>
      <c r="L2" s="835"/>
    </row>
    <row r="3" spans="1:12" x14ac:dyDescent="0.35">
      <c r="B3" s="763"/>
      <c r="C3" s="1013"/>
      <c r="D3" s="1014"/>
    </row>
    <row r="4" spans="1:12" ht="43.5" x14ac:dyDescent="0.35">
      <c r="A4" s="810"/>
      <c r="B4" s="750" t="s">
        <v>324</v>
      </c>
      <c r="C4" s="1013"/>
      <c r="D4" s="1014"/>
    </row>
    <row r="5" spans="1:12" ht="18.5" x14ac:dyDescent="0.35">
      <c r="A5" s="750" t="s">
        <v>881</v>
      </c>
      <c r="B5" s="811">
        <f>K12</f>
        <v>0</v>
      </c>
      <c r="C5" s="1013"/>
      <c r="D5" s="1014"/>
    </row>
    <row r="6" spans="1:12" ht="18.5" x14ac:dyDescent="0.35">
      <c r="A6" s="750" t="s">
        <v>882</v>
      </c>
      <c r="B6" s="811">
        <f>K13</f>
        <v>0</v>
      </c>
      <c r="C6" s="1014"/>
      <c r="D6" s="1014"/>
    </row>
    <row r="7" spans="1:12" ht="18.5" x14ac:dyDescent="0.35">
      <c r="A7" s="750" t="s">
        <v>327</v>
      </c>
      <c r="B7" s="811">
        <f>SUM(B5:B6)</f>
        <v>0</v>
      </c>
    </row>
    <row r="8" spans="1:12" ht="18.5" x14ac:dyDescent="0.45">
      <c r="A8" s="1021"/>
      <c r="C8" s="1013"/>
      <c r="D8" s="1014"/>
      <c r="E8" s="1017"/>
      <c r="F8" s="763"/>
      <c r="G8" s="1017"/>
      <c r="H8" s="1017"/>
      <c r="I8" s="1017"/>
      <c r="J8" s="1017"/>
      <c r="K8" s="1017"/>
    </row>
    <row r="9" spans="1:12" x14ac:dyDescent="0.35">
      <c r="C9" s="1022"/>
      <c r="D9" s="1014"/>
    </row>
    <row r="10" spans="1:12" s="667" customFormat="1" ht="21" customHeight="1" thickBot="1" x14ac:dyDescent="0.6">
      <c r="A10" s="598"/>
      <c r="B10" s="598"/>
      <c r="C10" s="598"/>
      <c r="D10" s="598"/>
      <c r="E10" s="598"/>
      <c r="F10" s="598"/>
      <c r="G10" s="1477" t="s">
        <v>330</v>
      </c>
      <c r="H10" s="1478"/>
    </row>
    <row r="11" spans="1:12" ht="43.5" x14ac:dyDescent="0.35">
      <c r="A11" s="750" t="s">
        <v>883</v>
      </c>
      <c r="B11" s="750" t="s">
        <v>884</v>
      </c>
      <c r="C11" s="1023" t="s">
        <v>621</v>
      </c>
      <c r="D11" s="750" t="s">
        <v>885</v>
      </c>
      <c r="E11" s="750" t="s">
        <v>886</v>
      </c>
      <c r="F11" s="750" t="s">
        <v>887</v>
      </c>
      <c r="G11" s="750" t="s">
        <v>888</v>
      </c>
      <c r="H11" s="1024" t="s">
        <v>890</v>
      </c>
      <c r="I11" s="750" t="s">
        <v>1801</v>
      </c>
      <c r="J11" s="751" t="s">
        <v>892</v>
      </c>
      <c r="K11" s="752" t="s">
        <v>561</v>
      </c>
    </row>
    <row r="12" spans="1:12" x14ac:dyDescent="0.35">
      <c r="A12" s="750" t="s">
        <v>881</v>
      </c>
      <c r="B12" s="1025"/>
      <c r="C12" s="1026"/>
      <c r="D12" s="774">
        <f>B12*C12</f>
        <v>0</v>
      </c>
      <c r="E12" s="774">
        <f>D12*56%</f>
        <v>0</v>
      </c>
      <c r="F12" s="774">
        <f>D12-E12</f>
        <v>0</v>
      </c>
      <c r="G12" s="1027">
        <f>E12/1000</f>
        <v>0</v>
      </c>
      <c r="H12" s="1027">
        <f>(G12*1.10231)*'Emission Factors'!$E$633</f>
        <v>0</v>
      </c>
      <c r="I12" s="1027">
        <f>F12/1000</f>
        <v>0</v>
      </c>
      <c r="J12" s="777">
        <f>(I12*1.10231)*'Emission Factors'!$F$633</f>
        <v>0</v>
      </c>
      <c r="K12" s="1028">
        <f>H12+J12</f>
        <v>0</v>
      </c>
    </row>
    <row r="13" spans="1:12" ht="15" thickBot="1" x14ac:dyDescent="0.4">
      <c r="A13" s="750" t="s">
        <v>882</v>
      </c>
      <c r="B13" s="1025"/>
      <c r="C13" s="1026"/>
      <c r="D13" s="774">
        <f>B13*C13</f>
        <v>0</v>
      </c>
      <c r="E13" s="774">
        <f>D13*76%</f>
        <v>0</v>
      </c>
      <c r="F13" s="774">
        <f>D13-E13</f>
        <v>0</v>
      </c>
      <c r="G13" s="1027">
        <f>E13/1000</f>
        <v>0</v>
      </c>
      <c r="H13" s="1027">
        <f>(G13*1.10231)*'Emission Factors'!$E$633</f>
        <v>0</v>
      </c>
      <c r="I13" s="1027">
        <f>F13/1000</f>
        <v>0</v>
      </c>
      <c r="J13" s="777">
        <f>(I13*1.10231)*'Emission Factors'!$F$633</f>
        <v>0</v>
      </c>
      <c r="K13" s="1029">
        <f>H13+J13</f>
        <v>0</v>
      </c>
    </row>
    <row r="14" spans="1:12" x14ac:dyDescent="0.35">
      <c r="A14" s="630" t="s">
        <v>893</v>
      </c>
    </row>
    <row r="15" spans="1:12" x14ac:dyDescent="0.35">
      <c r="A15" s="630" t="s">
        <v>894</v>
      </c>
    </row>
  </sheetData>
  <sheetProtection algorithmName="SHA-512" hashValue="lskzI70eHrDGpVx4NCjBPKSKtg8/BjFwwpTQ8QPgJrFLtVnNLVIWNGUMmUfCqaaz/G4JpihZAQMUqzCLsvra7A==" saltValue="O459y0oAOrjA6zNlLSOjVg==" spinCount="100000" sheet="1"/>
  <mergeCells count="3">
    <mergeCell ref="G1:L1"/>
    <mergeCell ref="G10:H10"/>
    <mergeCell ref="B1:E1"/>
  </mergeCells>
  <phoneticPr fontId="38" type="noConversion"/>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A1:V519"/>
  <sheetViews>
    <sheetView topLeftCell="A41" zoomScale="70" zoomScaleNormal="70" workbookViewId="0">
      <selection activeCell="E51" sqref="E51"/>
    </sheetView>
  </sheetViews>
  <sheetFormatPr baseColWidth="10" defaultColWidth="8.81640625" defaultRowHeight="15.5" x14ac:dyDescent="0.35"/>
  <cols>
    <col min="1" max="1" width="46.1796875" style="617" customWidth="1"/>
    <col min="2" max="2" width="26.1796875" style="617" bestFit="1" customWidth="1"/>
    <col min="3" max="3" width="23.7265625" style="617" bestFit="1" customWidth="1"/>
    <col min="4" max="4" width="19.1796875" style="617" bestFit="1" customWidth="1"/>
    <col min="5" max="5" width="17.81640625" style="617" bestFit="1" customWidth="1"/>
    <col min="6" max="6" width="17.81640625" style="954" bestFit="1" customWidth="1"/>
    <col min="7" max="7" width="16.453125" style="617" bestFit="1" customWidth="1"/>
    <col min="8" max="8" width="21.26953125" style="634" customWidth="1"/>
    <col min="9" max="9" width="16.26953125" style="634" customWidth="1"/>
    <col min="10" max="10" width="12.453125" style="617" customWidth="1"/>
    <col min="11" max="11" width="12.81640625" style="617" customWidth="1"/>
    <col min="12" max="12" width="14.81640625" style="618" customWidth="1"/>
    <col min="13" max="13" width="14.453125" style="618" customWidth="1"/>
    <col min="14" max="14" width="15.453125" style="618" customWidth="1"/>
    <col min="15" max="15" width="15.1796875" style="618" customWidth="1"/>
    <col min="16" max="16" width="14.453125" style="618" customWidth="1"/>
    <col min="17" max="17" width="15.26953125" style="618" customWidth="1"/>
    <col min="18" max="18" width="14.453125" style="619" customWidth="1"/>
    <col min="19" max="19" width="12.453125" style="618" customWidth="1"/>
    <col min="20" max="20" width="9.1796875" style="618"/>
    <col min="21" max="21" width="12" style="618" customWidth="1"/>
    <col min="22" max="16384" width="8.81640625" style="617"/>
  </cols>
  <sheetData>
    <row r="1" spans="1:21" ht="51.75" customHeight="1" thickBot="1" x14ac:dyDescent="0.4">
      <c r="A1" s="1030" t="s">
        <v>113</v>
      </c>
      <c r="B1" s="1512" t="s">
        <v>895</v>
      </c>
      <c r="C1" s="1492"/>
      <c r="D1" s="1492"/>
      <c r="E1" s="1493"/>
      <c r="H1" s="1500" t="s">
        <v>318</v>
      </c>
      <c r="I1" s="1501"/>
      <c r="J1" s="1501"/>
      <c r="K1" s="1501"/>
      <c r="L1" s="1501"/>
      <c r="M1" s="1502"/>
    </row>
    <row r="2" spans="1:21" ht="34.5" customHeight="1" x14ac:dyDescent="0.35">
      <c r="A2" s="662"/>
      <c r="B2" s="633"/>
      <c r="H2" s="657" t="s">
        <v>319</v>
      </c>
      <c r="I2" s="658"/>
      <c r="J2" s="659" t="s">
        <v>320</v>
      </c>
      <c r="K2" s="1031"/>
      <c r="L2" s="659" t="s">
        <v>321</v>
      </c>
      <c r="M2" s="1032"/>
    </row>
    <row r="3" spans="1:21" ht="37" x14ac:dyDescent="0.35">
      <c r="A3" s="662"/>
      <c r="B3" s="615" t="s">
        <v>1825</v>
      </c>
      <c r="C3" s="634"/>
      <c r="D3" s="634"/>
      <c r="G3" s="618"/>
      <c r="H3" s="635"/>
      <c r="I3" s="635"/>
      <c r="J3" s="635"/>
      <c r="K3" s="635"/>
      <c r="L3" s="635"/>
      <c r="M3" s="635"/>
      <c r="Q3" s="617"/>
      <c r="R3" s="617"/>
      <c r="S3" s="617"/>
      <c r="T3" s="617"/>
      <c r="U3" s="617"/>
    </row>
    <row r="4" spans="1:21" ht="18.5" x14ac:dyDescent="0.35">
      <c r="A4" s="615" t="s">
        <v>137</v>
      </c>
      <c r="B4" s="663">
        <f>SUM(I16,H23,C30:C38)</f>
        <v>0</v>
      </c>
      <c r="C4" s="634"/>
      <c r="D4" s="634"/>
      <c r="H4" s="617"/>
      <c r="I4" s="617"/>
      <c r="L4" s="617"/>
      <c r="M4" s="617"/>
      <c r="N4" s="617"/>
      <c r="O4" s="617"/>
      <c r="P4" s="617"/>
      <c r="Q4" s="617"/>
      <c r="R4" s="617"/>
      <c r="S4" s="617"/>
      <c r="T4" s="617"/>
      <c r="U4" s="617"/>
    </row>
    <row r="5" spans="1:21" ht="18.5" x14ac:dyDescent="0.35">
      <c r="A5" s="615" t="s">
        <v>138</v>
      </c>
      <c r="B5" s="955">
        <f>SUM(F45:F47,C54:C56)</f>
        <v>0</v>
      </c>
      <c r="C5" s="719"/>
      <c r="D5" s="719"/>
      <c r="E5" s="719"/>
      <c r="F5" s="719"/>
      <c r="H5" s="617"/>
      <c r="I5" s="617"/>
      <c r="L5" s="617"/>
      <c r="M5" s="617"/>
      <c r="N5" s="617"/>
      <c r="O5" s="617"/>
      <c r="P5" s="617"/>
      <c r="Q5" s="617"/>
      <c r="R5" s="617"/>
      <c r="S5" s="617"/>
      <c r="T5" s="617"/>
      <c r="U5" s="617"/>
    </row>
    <row r="6" spans="1:21" ht="18.5" x14ac:dyDescent="0.35">
      <c r="A6" s="615" t="s">
        <v>139</v>
      </c>
      <c r="B6" s="955">
        <f>SUM(B63,B68)</f>
        <v>0</v>
      </c>
      <c r="C6" s="719"/>
      <c r="D6" s="719"/>
      <c r="E6" s="719"/>
      <c r="F6" s="719"/>
      <c r="H6" s="617"/>
      <c r="I6" s="617"/>
      <c r="L6" s="617"/>
      <c r="M6" s="617"/>
      <c r="N6" s="617"/>
      <c r="O6" s="617"/>
      <c r="P6" s="617"/>
      <c r="Q6" s="617"/>
      <c r="R6" s="617"/>
      <c r="S6" s="617"/>
      <c r="T6" s="617"/>
      <c r="U6" s="617"/>
    </row>
    <row r="7" spans="1:21" ht="18.5" x14ac:dyDescent="0.35">
      <c r="A7" s="615" t="s">
        <v>835</v>
      </c>
      <c r="B7" s="955">
        <f>SUM(C75:C77)</f>
        <v>0</v>
      </c>
      <c r="C7" s="719"/>
      <c r="D7" s="719"/>
      <c r="E7" s="719"/>
      <c r="F7" s="719"/>
      <c r="H7" s="617"/>
      <c r="I7" s="617"/>
      <c r="L7" s="617"/>
      <c r="M7" s="617"/>
      <c r="N7" s="617"/>
      <c r="O7" s="617"/>
      <c r="P7" s="617"/>
      <c r="Q7" s="617"/>
      <c r="R7" s="617"/>
      <c r="S7" s="617"/>
      <c r="T7" s="617"/>
      <c r="U7" s="617"/>
    </row>
    <row r="8" spans="1:21" ht="18.5" x14ac:dyDescent="0.35">
      <c r="A8" s="615" t="s">
        <v>141</v>
      </c>
      <c r="B8" s="999">
        <f>SUM(D84:D86)</f>
        <v>0</v>
      </c>
      <c r="C8" s="634"/>
      <c r="D8" s="634"/>
      <c r="H8" s="617"/>
      <c r="I8" s="617"/>
      <c r="L8" s="617"/>
      <c r="M8" s="617"/>
      <c r="N8" s="617"/>
      <c r="O8" s="617"/>
      <c r="P8" s="617"/>
      <c r="Q8" s="617"/>
      <c r="R8" s="617"/>
      <c r="S8" s="617"/>
      <c r="T8" s="617"/>
      <c r="U8" s="617"/>
    </row>
    <row r="9" spans="1:21" ht="18.5" x14ac:dyDescent="0.35">
      <c r="A9" s="615" t="s">
        <v>1845</v>
      </c>
      <c r="B9" s="999">
        <f>F149</f>
        <v>0</v>
      </c>
      <c r="C9" s="634"/>
      <c r="D9" s="634"/>
      <c r="H9" s="617"/>
      <c r="I9" s="617"/>
      <c r="L9" s="617"/>
      <c r="M9" s="617"/>
      <c r="N9" s="617"/>
      <c r="O9" s="617"/>
      <c r="P9" s="617"/>
      <c r="Q9" s="617"/>
      <c r="R9" s="617"/>
      <c r="S9" s="617"/>
      <c r="T9" s="617"/>
      <c r="U9" s="617"/>
    </row>
    <row r="10" spans="1:21" ht="18.5" x14ac:dyDescent="0.35">
      <c r="A10" s="615" t="s">
        <v>327</v>
      </c>
      <c r="B10" s="623">
        <f>SUM(B4:B9)</f>
        <v>0</v>
      </c>
      <c r="C10" s="634"/>
      <c r="D10" s="634"/>
      <c r="H10" s="617"/>
      <c r="I10" s="617"/>
      <c r="L10" s="617"/>
      <c r="M10" s="617"/>
      <c r="N10" s="617"/>
      <c r="O10" s="617"/>
      <c r="P10" s="617"/>
      <c r="Q10" s="617"/>
      <c r="R10" s="617"/>
      <c r="S10" s="617"/>
      <c r="T10" s="617"/>
      <c r="U10" s="617"/>
    </row>
    <row r="11" spans="1:21" x14ac:dyDescent="0.35">
      <c r="H11" s="617"/>
      <c r="I11" s="617"/>
      <c r="L11" s="617"/>
      <c r="M11" s="617"/>
      <c r="N11" s="617"/>
      <c r="O11" s="617"/>
      <c r="P11" s="617"/>
      <c r="Q11" s="617"/>
      <c r="R11" s="617"/>
      <c r="S11" s="617"/>
      <c r="T11" s="617"/>
      <c r="U11" s="617"/>
    </row>
    <row r="12" spans="1:21" s="664" customFormat="1" ht="36" x14ac:dyDescent="0.8">
      <c r="A12" s="1463" t="s">
        <v>896</v>
      </c>
      <c r="B12" s="1464"/>
      <c r="C12" s="1464"/>
      <c r="D12" s="1464"/>
      <c r="E12" s="1464"/>
      <c r="F12" s="1464"/>
      <c r="G12" s="1464"/>
      <c r="H12" s="1464"/>
      <c r="I12" s="1464"/>
      <c r="J12" s="1464"/>
      <c r="K12" s="1464"/>
      <c r="L12" s="1464"/>
      <c r="M12" s="1464"/>
      <c r="N12" s="1464"/>
      <c r="O12" s="1464"/>
      <c r="P12" s="1464"/>
      <c r="Q12" s="1464"/>
      <c r="R12" s="1464"/>
      <c r="S12" s="1033"/>
      <c r="T12" s="1033"/>
      <c r="U12" s="1033"/>
    </row>
    <row r="13" spans="1:21" x14ac:dyDescent="0.35">
      <c r="A13" s="845"/>
    </row>
    <row r="14" spans="1:21" s="667" customFormat="1" ht="24" thickBot="1" x14ac:dyDescent="0.6">
      <c r="A14" s="648"/>
      <c r="C14" s="1461" t="s">
        <v>330</v>
      </c>
      <c r="D14" s="1462"/>
      <c r="E14" s="1034"/>
      <c r="G14" s="851"/>
      <c r="H14" s="851"/>
      <c r="K14" s="1035"/>
      <c r="L14" s="1035"/>
      <c r="M14" s="1035"/>
      <c r="N14" s="1035"/>
      <c r="O14" s="1035"/>
      <c r="P14" s="1035"/>
      <c r="Q14" s="1036"/>
      <c r="R14" s="1035"/>
      <c r="S14" s="1035"/>
      <c r="T14" s="1035"/>
    </row>
    <row r="15" spans="1:21" ht="37" x14ac:dyDescent="0.35">
      <c r="B15" s="615" t="s">
        <v>1763</v>
      </c>
      <c r="C15" s="615" t="s">
        <v>854</v>
      </c>
      <c r="D15" s="671" t="s">
        <v>1702</v>
      </c>
      <c r="E15" s="672" t="s">
        <v>334</v>
      </c>
      <c r="F15" s="672" t="s">
        <v>1825</v>
      </c>
      <c r="G15" s="672" t="s">
        <v>1826</v>
      </c>
      <c r="H15" s="672" t="s">
        <v>1827</v>
      </c>
      <c r="I15" s="911" t="s">
        <v>1825</v>
      </c>
      <c r="J15" s="618"/>
      <c r="L15" s="617"/>
      <c r="M15" s="617"/>
      <c r="N15" s="617"/>
      <c r="O15" s="617"/>
      <c r="P15" s="617"/>
      <c r="Q15" s="617"/>
      <c r="R15" s="617"/>
      <c r="S15" s="617"/>
      <c r="T15" s="617"/>
      <c r="U15" s="617"/>
    </row>
    <row r="16" spans="1:21" ht="16" thickBot="1" x14ac:dyDescent="0.4">
      <c r="A16" s="628" t="s">
        <v>897</v>
      </c>
      <c r="B16" s="1037"/>
      <c r="C16" s="688">
        <f>IFERROR((B16/'Emission Factors'!B665), " ")</f>
        <v>0</v>
      </c>
      <c r="D16" s="677">
        <f>(C16/'Emission Factors'!F672)*0.001</f>
        <v>0</v>
      </c>
      <c r="E16" s="677">
        <f>D16*'Emission Factors'!$B$688</f>
        <v>0</v>
      </c>
      <c r="F16" s="677">
        <f>$E16*'Emission Factors'!$C$688*0.001</f>
        <v>0</v>
      </c>
      <c r="G16" s="677">
        <f>$E16*'Emission Factors'!$D$688*0.001</f>
        <v>0</v>
      </c>
      <c r="H16" s="677">
        <f>$E16*'Emission Factors'!$E$688*0.001</f>
        <v>0</v>
      </c>
      <c r="I16" s="1038">
        <f>SUM(F16:H16)</f>
        <v>0</v>
      </c>
      <c r="J16" s="618"/>
      <c r="L16" s="617"/>
      <c r="M16" s="617"/>
      <c r="N16" s="617"/>
      <c r="O16" s="617"/>
      <c r="P16" s="617"/>
      <c r="Q16" s="617"/>
      <c r="R16" s="617"/>
      <c r="S16" s="617"/>
      <c r="T16" s="617"/>
      <c r="U16" s="617"/>
    </row>
    <row r="17" spans="1:21" x14ac:dyDescent="0.35">
      <c r="A17" s="1039" t="s">
        <v>341</v>
      </c>
      <c r="I17" s="617"/>
      <c r="J17" s="618"/>
      <c r="K17" s="618"/>
      <c r="P17" s="619"/>
      <c r="R17" s="618"/>
      <c r="T17" s="617"/>
      <c r="U17" s="617"/>
    </row>
    <row r="18" spans="1:21" x14ac:dyDescent="0.35">
      <c r="A18" s="693"/>
    </row>
    <row r="19" spans="1:21" s="664" customFormat="1" ht="36" x14ac:dyDescent="0.8">
      <c r="A19" s="1463" t="s">
        <v>898</v>
      </c>
      <c r="B19" s="1464"/>
      <c r="C19" s="1464"/>
      <c r="D19" s="1464"/>
      <c r="E19" s="1464"/>
      <c r="F19" s="1464"/>
      <c r="G19" s="1464"/>
      <c r="H19" s="1464"/>
      <c r="I19" s="1464"/>
      <c r="J19" s="1464"/>
      <c r="K19" s="1464"/>
      <c r="L19" s="1464"/>
      <c r="M19" s="1464"/>
      <c r="N19" s="1464"/>
      <c r="O19" s="1464"/>
      <c r="P19" s="1464"/>
      <c r="Q19" s="1464"/>
      <c r="R19" s="1464"/>
      <c r="S19" s="1033"/>
      <c r="T19" s="1033"/>
      <c r="U19" s="1033"/>
    </row>
    <row r="20" spans="1:21" x14ac:dyDescent="0.35">
      <c r="A20" s="845"/>
    </row>
    <row r="21" spans="1:21" s="667" customFormat="1" ht="24" thickBot="1" x14ac:dyDescent="0.6">
      <c r="A21" s="648"/>
      <c r="C21" s="1461" t="s">
        <v>330</v>
      </c>
      <c r="D21" s="1462"/>
      <c r="F21" s="1034"/>
      <c r="H21" s="851"/>
      <c r="I21" s="851"/>
      <c r="L21" s="1035"/>
      <c r="M21" s="1035"/>
      <c r="N21" s="1035"/>
      <c r="O21" s="1035"/>
      <c r="P21" s="1035"/>
      <c r="Q21" s="1035"/>
      <c r="R21" s="1036"/>
      <c r="S21" s="1035"/>
      <c r="T21" s="1035"/>
      <c r="U21" s="1035"/>
    </row>
    <row r="22" spans="1:21" ht="37" x14ac:dyDescent="0.35">
      <c r="B22" s="615" t="s">
        <v>1763</v>
      </c>
      <c r="C22" s="615" t="s">
        <v>1809</v>
      </c>
      <c r="D22" s="672" t="s">
        <v>334</v>
      </c>
      <c r="E22" s="672" t="s">
        <v>1825</v>
      </c>
      <c r="F22" s="672" t="s">
        <v>1826</v>
      </c>
      <c r="G22" s="672" t="s">
        <v>1827</v>
      </c>
      <c r="H22" s="911" t="s">
        <v>1825</v>
      </c>
      <c r="I22" s="618"/>
      <c r="L22" s="617"/>
      <c r="M22" s="617"/>
      <c r="N22" s="617"/>
      <c r="O22" s="617"/>
      <c r="P22" s="617"/>
      <c r="Q22" s="617"/>
      <c r="R22" s="617"/>
      <c r="S22" s="617"/>
      <c r="T22" s="617"/>
      <c r="U22" s="617"/>
    </row>
    <row r="23" spans="1:21" ht="16" thickBot="1" x14ac:dyDescent="0.4">
      <c r="A23" s="628" t="s">
        <v>899</v>
      </c>
      <c r="B23" s="1037"/>
      <c r="C23" s="688">
        <f>(B23/'Emission Factors'!B672)*0.001</f>
        <v>0</v>
      </c>
      <c r="D23" s="677">
        <f>C23*'Emission Factors'!$B$688</f>
        <v>0</v>
      </c>
      <c r="E23" s="677">
        <f>$D23*'Emission Factors'!$C$688*0.001</f>
        <v>0</v>
      </c>
      <c r="F23" s="677">
        <f>$D23*'Emission Factors'!$D$688*0.001</f>
        <v>0</v>
      </c>
      <c r="G23" s="677">
        <f>$D23*'Emission Factors'!$E$688*0.001</f>
        <v>0</v>
      </c>
      <c r="H23" s="1038">
        <f>SUM(E23:G23)</f>
        <v>0</v>
      </c>
      <c r="I23" s="618"/>
      <c r="L23" s="617"/>
      <c r="M23" s="617"/>
      <c r="N23" s="617"/>
      <c r="O23" s="617"/>
      <c r="P23" s="617"/>
      <c r="Q23" s="617"/>
      <c r="R23" s="617"/>
      <c r="S23" s="617"/>
      <c r="T23" s="617"/>
      <c r="U23" s="617"/>
    </row>
    <row r="24" spans="1:21" x14ac:dyDescent="0.35">
      <c r="A24" s="1039" t="s">
        <v>341</v>
      </c>
    </row>
    <row r="25" spans="1:21" x14ac:dyDescent="0.35">
      <c r="A25" s="693"/>
    </row>
    <row r="26" spans="1:21" s="664" customFormat="1" ht="36" x14ac:dyDescent="0.8">
      <c r="A26" s="1463" t="s">
        <v>900</v>
      </c>
      <c r="B26" s="1464"/>
      <c r="C26" s="1464"/>
      <c r="D26" s="1464"/>
      <c r="E26" s="1464"/>
      <c r="F26" s="1464"/>
      <c r="G26" s="1464"/>
      <c r="H26" s="1464"/>
      <c r="I26" s="1464"/>
      <c r="J26" s="1464"/>
      <c r="K26" s="1464"/>
      <c r="L26" s="1464"/>
      <c r="M26" s="1464"/>
      <c r="N26" s="1464"/>
      <c r="O26" s="1464"/>
      <c r="P26" s="1464"/>
      <c r="Q26" s="1464"/>
      <c r="R26" s="1464"/>
      <c r="S26" s="1033"/>
      <c r="T26" s="1033"/>
      <c r="U26" s="1033"/>
    </row>
    <row r="27" spans="1:21" x14ac:dyDescent="0.35">
      <c r="A27" s="845"/>
    </row>
    <row r="28" spans="1:21" s="1041" customFormat="1" ht="26.5" thickBot="1" x14ac:dyDescent="0.65">
      <c r="A28" s="1040"/>
      <c r="B28" s="1587" t="s">
        <v>330</v>
      </c>
      <c r="C28" s="1588"/>
      <c r="E28" s="1042"/>
      <c r="G28" s="1043"/>
      <c r="H28" s="1043"/>
      <c r="K28" s="1044"/>
      <c r="L28" s="1044"/>
      <c r="M28" s="1044"/>
      <c r="N28" s="1044"/>
      <c r="O28" s="1044"/>
      <c r="P28" s="1044"/>
      <c r="Q28" s="1045"/>
      <c r="R28" s="1044"/>
      <c r="S28" s="1044"/>
      <c r="T28" s="1044"/>
    </row>
    <row r="29" spans="1:21" ht="55.5" x14ac:dyDescent="0.35">
      <c r="A29" s="615" t="s">
        <v>901</v>
      </c>
      <c r="B29" s="615" t="s">
        <v>902</v>
      </c>
      <c r="C29" s="616" t="s">
        <v>372</v>
      </c>
      <c r="D29" s="619"/>
      <c r="E29" s="618"/>
      <c r="F29" s="618"/>
      <c r="G29" s="618"/>
      <c r="H29" s="617"/>
      <c r="I29" s="617"/>
      <c r="L29" s="617"/>
      <c r="M29" s="617"/>
      <c r="N29" s="617"/>
      <c r="O29" s="617"/>
      <c r="P29" s="617"/>
      <c r="Q29" s="617"/>
      <c r="R29" s="617"/>
      <c r="S29" s="617"/>
      <c r="T29" s="617"/>
      <c r="U29" s="617"/>
    </row>
    <row r="30" spans="1:21" x14ac:dyDescent="0.35">
      <c r="A30" s="628" t="s">
        <v>48</v>
      </c>
      <c r="B30" s="692"/>
      <c r="C30" s="624">
        <f>IFERROR(B30*'Emission Factors'!D710/1000, )</f>
        <v>0</v>
      </c>
      <c r="D30" s="619"/>
      <c r="E30" s="618"/>
      <c r="F30" s="618"/>
      <c r="G30" s="618"/>
      <c r="H30" s="617"/>
      <c r="I30" s="617"/>
      <c r="L30" s="617"/>
      <c r="M30" s="617"/>
      <c r="N30" s="617"/>
      <c r="O30" s="617"/>
      <c r="P30" s="617"/>
      <c r="Q30" s="617"/>
      <c r="R30" s="617"/>
      <c r="S30" s="617"/>
      <c r="T30" s="617"/>
      <c r="U30" s="617"/>
    </row>
    <row r="31" spans="1:21" x14ac:dyDescent="0.35">
      <c r="A31" s="628" t="s">
        <v>46</v>
      </c>
      <c r="B31" s="692"/>
      <c r="C31" s="624">
        <f>IFERROR(B31*'Emission Factors'!D711/1000, )</f>
        <v>0</v>
      </c>
      <c r="D31" s="619"/>
      <c r="E31" s="618"/>
      <c r="F31" s="618"/>
      <c r="G31" s="618"/>
      <c r="H31" s="617"/>
      <c r="I31" s="617"/>
      <c r="L31" s="617"/>
      <c r="M31" s="617"/>
      <c r="N31" s="617"/>
      <c r="O31" s="617"/>
      <c r="P31" s="617"/>
      <c r="Q31" s="617"/>
      <c r="R31" s="617"/>
      <c r="S31" s="617"/>
      <c r="T31" s="617"/>
      <c r="U31" s="617"/>
    </row>
    <row r="32" spans="1:21" x14ac:dyDescent="0.35">
      <c r="A32" s="628" t="s">
        <v>904</v>
      </c>
      <c r="B32" s="692"/>
      <c r="C32" s="624">
        <f>IFERROR(B32*'Emission Factors'!D712/1000, )</f>
        <v>0</v>
      </c>
      <c r="D32" s="619"/>
      <c r="E32" s="618"/>
      <c r="F32" s="618"/>
      <c r="G32" s="618"/>
      <c r="H32" s="617"/>
      <c r="I32" s="617"/>
      <c r="L32" s="617"/>
      <c r="M32" s="617"/>
      <c r="N32" s="617"/>
      <c r="O32" s="617"/>
      <c r="P32" s="617"/>
      <c r="Q32" s="617"/>
      <c r="R32" s="617"/>
      <c r="S32" s="617"/>
      <c r="T32" s="617"/>
      <c r="U32" s="617"/>
    </row>
    <row r="33" spans="1:21" x14ac:dyDescent="0.35">
      <c r="A33" s="628" t="s">
        <v>905</v>
      </c>
      <c r="B33" s="692"/>
      <c r="C33" s="624">
        <f>IFERROR(B33*'Emission Factors'!D713/1000, )</f>
        <v>0</v>
      </c>
      <c r="D33" s="619"/>
      <c r="E33" s="618"/>
      <c r="F33" s="618"/>
      <c r="G33" s="618"/>
      <c r="H33" s="617"/>
      <c r="I33" s="617"/>
      <c r="L33" s="617"/>
      <c r="M33" s="617"/>
      <c r="N33" s="617"/>
      <c r="O33" s="617"/>
      <c r="P33" s="617"/>
      <c r="Q33" s="617"/>
      <c r="R33" s="617"/>
      <c r="S33" s="617"/>
      <c r="T33" s="617"/>
      <c r="U33" s="617"/>
    </row>
    <row r="34" spans="1:21" x14ac:dyDescent="0.35">
      <c r="A34" s="628" t="s">
        <v>906</v>
      </c>
      <c r="B34" s="692"/>
      <c r="C34" s="624">
        <f>IFERROR(B34*'Emission Factors'!D714/1000, )</f>
        <v>0</v>
      </c>
      <c r="D34" s="619"/>
      <c r="E34" s="618"/>
      <c r="F34" s="618"/>
      <c r="G34" s="618"/>
      <c r="H34" s="617"/>
      <c r="I34" s="617"/>
      <c r="L34" s="617"/>
      <c r="M34" s="617"/>
      <c r="N34" s="617"/>
      <c r="O34" s="617"/>
      <c r="P34" s="617"/>
      <c r="Q34" s="617"/>
      <c r="R34" s="617"/>
      <c r="S34" s="617"/>
      <c r="T34" s="617"/>
      <c r="U34" s="617"/>
    </row>
    <row r="35" spans="1:21" x14ac:dyDescent="0.35">
      <c r="A35" s="628" t="s">
        <v>907</v>
      </c>
      <c r="B35" s="692"/>
      <c r="C35" s="624">
        <f>IFERROR(B35*'Emission Factors'!D715/1000, )</f>
        <v>0</v>
      </c>
      <c r="D35" s="619"/>
      <c r="E35" s="618"/>
      <c r="F35" s="618"/>
      <c r="G35" s="618"/>
      <c r="H35" s="617"/>
      <c r="I35" s="617"/>
      <c r="L35" s="617"/>
      <c r="M35" s="617"/>
      <c r="N35" s="617"/>
      <c r="O35" s="617"/>
      <c r="P35" s="617"/>
      <c r="Q35" s="617"/>
      <c r="R35" s="617"/>
      <c r="S35" s="617"/>
      <c r="T35" s="617"/>
      <c r="U35" s="617"/>
    </row>
    <row r="36" spans="1:21" x14ac:dyDescent="0.35">
      <c r="A36" s="628" t="s">
        <v>908</v>
      </c>
      <c r="B36" s="692"/>
      <c r="C36" s="624">
        <f>IFERROR(B36*'Emission Factors'!D716/1000, )</f>
        <v>0</v>
      </c>
      <c r="D36" s="619"/>
      <c r="E36" s="618"/>
      <c r="F36" s="618"/>
      <c r="G36" s="618"/>
      <c r="H36" s="617"/>
      <c r="I36" s="617"/>
      <c r="L36" s="617"/>
      <c r="M36" s="617"/>
      <c r="N36" s="617"/>
      <c r="O36" s="617"/>
      <c r="P36" s="617"/>
      <c r="Q36" s="617"/>
      <c r="R36" s="617"/>
      <c r="S36" s="617"/>
      <c r="T36" s="617"/>
      <c r="U36" s="617"/>
    </row>
    <row r="37" spans="1:21" x14ac:dyDescent="0.35">
      <c r="A37" s="628" t="s">
        <v>909</v>
      </c>
      <c r="B37" s="692"/>
      <c r="C37" s="624">
        <f>IFERROR(B37*'Emission Factors'!D717/1000, )</f>
        <v>0</v>
      </c>
      <c r="D37" s="619"/>
      <c r="E37" s="618"/>
      <c r="F37" s="618"/>
      <c r="G37" s="618"/>
      <c r="H37" s="617"/>
      <c r="I37" s="617"/>
      <c r="L37" s="617"/>
      <c r="M37" s="617"/>
      <c r="N37" s="617"/>
      <c r="O37" s="617"/>
      <c r="P37" s="617"/>
      <c r="Q37" s="617"/>
      <c r="R37" s="617"/>
      <c r="S37" s="617"/>
      <c r="T37" s="617"/>
      <c r="U37" s="617"/>
    </row>
    <row r="38" spans="1:21" x14ac:dyDescent="0.35">
      <c r="A38" s="628" t="s">
        <v>910</v>
      </c>
      <c r="B38" s="692"/>
      <c r="C38" s="624">
        <f>IFERROR(B38*'Emission Factors'!D718/1000, )</f>
        <v>0</v>
      </c>
      <c r="D38" s="619"/>
      <c r="E38" s="618"/>
      <c r="F38" s="618"/>
      <c r="G38" s="618"/>
      <c r="H38" s="617"/>
      <c r="I38" s="617"/>
      <c r="L38" s="617"/>
      <c r="M38" s="617"/>
      <c r="N38" s="617"/>
      <c r="O38" s="617"/>
      <c r="P38" s="617"/>
      <c r="Q38" s="617"/>
      <c r="R38" s="617"/>
      <c r="S38" s="617"/>
      <c r="T38" s="617"/>
      <c r="U38" s="617"/>
    </row>
    <row r="39" spans="1:21" x14ac:dyDescent="0.35">
      <c r="A39" s="693"/>
    </row>
    <row r="41" spans="1:21" s="664" customFormat="1" ht="36" x14ac:dyDescent="0.8">
      <c r="A41" s="1463" t="s">
        <v>138</v>
      </c>
      <c r="B41" s="1464"/>
      <c r="C41" s="1464"/>
      <c r="D41" s="1464"/>
      <c r="E41" s="1464"/>
      <c r="F41" s="1464"/>
      <c r="G41" s="1464"/>
      <c r="H41" s="1464"/>
      <c r="I41" s="1464"/>
      <c r="J41" s="1464"/>
      <c r="K41" s="1464"/>
      <c r="L41" s="1464"/>
      <c r="M41" s="1464"/>
      <c r="N41" s="1464"/>
      <c r="O41" s="1464"/>
      <c r="P41" s="1464"/>
      <c r="Q41" s="1464"/>
      <c r="R41" s="1464"/>
      <c r="S41" s="1033"/>
      <c r="T41" s="1033"/>
      <c r="U41" s="1033"/>
    </row>
    <row r="42" spans="1:21" x14ac:dyDescent="0.35">
      <c r="A42" s="845"/>
      <c r="F42" s="693"/>
    </row>
    <row r="43" spans="1:21" s="667" customFormat="1" ht="24" thickBot="1" x14ac:dyDescent="0.6">
      <c r="A43" s="1585" t="s">
        <v>911</v>
      </c>
      <c r="B43" s="1586"/>
      <c r="C43" s="1461" t="s">
        <v>330</v>
      </c>
      <c r="D43" s="1462"/>
      <c r="F43" s="1046"/>
      <c r="H43" s="851"/>
      <c r="I43" s="851"/>
      <c r="L43" s="1035"/>
      <c r="M43" s="1035"/>
      <c r="N43" s="1035"/>
      <c r="O43" s="1035"/>
      <c r="P43" s="1035"/>
      <c r="Q43" s="1035"/>
      <c r="R43" s="1036"/>
      <c r="S43" s="1035"/>
      <c r="T43" s="1035"/>
      <c r="U43" s="1035"/>
    </row>
    <row r="44" spans="1:21" s="634" customFormat="1" ht="74" x14ac:dyDescent="0.35">
      <c r="A44" s="615" t="s">
        <v>912</v>
      </c>
      <c r="B44" s="615" t="s">
        <v>913</v>
      </c>
      <c r="C44" s="615" t="s">
        <v>1810</v>
      </c>
      <c r="D44" s="615" t="s">
        <v>1811</v>
      </c>
      <c r="E44" s="615" t="s">
        <v>914</v>
      </c>
      <c r="F44" s="616" t="s">
        <v>372</v>
      </c>
      <c r="G44" s="619"/>
      <c r="H44" s="619"/>
    </row>
    <row r="45" spans="1:21" x14ac:dyDescent="0.35">
      <c r="A45" s="628" t="s">
        <v>881</v>
      </c>
      <c r="B45" s="621"/>
      <c r="C45" s="1037"/>
      <c r="D45" s="1047">
        <v>0.15</v>
      </c>
      <c r="E45" s="913">
        <f>SUM((C45-(B45*72.11))/D45)</f>
        <v>0</v>
      </c>
      <c r="F45" s="624">
        <f>E45*'Emission Factors'!$D$732/1000</f>
        <v>0</v>
      </c>
      <c r="G45" s="618"/>
      <c r="H45" s="618"/>
      <c r="I45" s="617"/>
      <c r="L45" s="617"/>
      <c r="N45" s="617"/>
      <c r="O45" s="617"/>
      <c r="P45" s="617"/>
      <c r="Q45" s="617"/>
      <c r="R45" s="617"/>
      <c r="S45" s="617"/>
      <c r="T45" s="617"/>
      <c r="U45" s="617"/>
    </row>
    <row r="46" spans="1:21" x14ac:dyDescent="0.35">
      <c r="A46" s="628" t="s">
        <v>1812</v>
      </c>
      <c r="B46" s="621"/>
      <c r="C46" s="1037"/>
      <c r="D46" s="1047">
        <v>0.15</v>
      </c>
      <c r="E46" s="913">
        <f>SUM((C46-(B46*68.28))/D46)</f>
        <v>0</v>
      </c>
      <c r="F46" s="624">
        <f>E46*'Emission Factors'!$D$739/1000</f>
        <v>0</v>
      </c>
      <c r="G46" s="618"/>
      <c r="H46" s="618"/>
      <c r="I46" s="617"/>
      <c r="L46" s="617"/>
      <c r="N46" s="617"/>
      <c r="O46" s="617"/>
      <c r="P46" s="617"/>
      <c r="Q46" s="617"/>
      <c r="R46" s="617"/>
      <c r="S46" s="617"/>
      <c r="T46" s="617"/>
      <c r="U46" s="617"/>
    </row>
    <row r="47" spans="1:21" ht="16" thickBot="1" x14ac:dyDescent="0.4">
      <c r="A47" s="628" t="s">
        <v>1813</v>
      </c>
      <c r="B47" s="621"/>
      <c r="C47" s="1037"/>
      <c r="D47" s="1047">
        <v>0.15</v>
      </c>
      <c r="E47" s="913">
        <f>SUM((C47-(B47*71.6))/D47)</f>
        <v>0</v>
      </c>
      <c r="F47" s="1048">
        <f>E47*'Emission Factors'!$D$742/1000</f>
        <v>0</v>
      </c>
      <c r="G47" s="618"/>
      <c r="H47" s="618"/>
      <c r="I47" s="617"/>
      <c r="L47" s="617"/>
      <c r="N47" s="617"/>
      <c r="O47" s="617"/>
      <c r="P47" s="617"/>
      <c r="Q47" s="617"/>
      <c r="R47" s="617"/>
      <c r="S47" s="617"/>
      <c r="T47" s="617"/>
      <c r="U47" s="617"/>
    </row>
    <row r="48" spans="1:21" x14ac:dyDescent="0.35">
      <c r="A48" s="693" t="s">
        <v>915</v>
      </c>
      <c r="F48" s="617"/>
      <c r="H48" s="617"/>
      <c r="I48" s="617"/>
      <c r="L48" s="617"/>
      <c r="M48" s="617"/>
      <c r="N48" s="617"/>
      <c r="O48" s="845"/>
      <c r="P48" s="1049"/>
      <c r="Q48" s="617"/>
      <c r="R48" s="617"/>
      <c r="S48" s="617"/>
      <c r="T48" s="617"/>
      <c r="U48" s="617"/>
    </row>
    <row r="49" spans="1:21" x14ac:dyDescent="0.35">
      <c r="A49" s="693" t="s">
        <v>1823</v>
      </c>
      <c r="F49" s="617"/>
      <c r="H49" s="617"/>
      <c r="I49" s="617"/>
      <c r="L49" s="617"/>
      <c r="M49" s="617"/>
      <c r="N49" s="617"/>
      <c r="O49" s="845"/>
      <c r="P49" s="1049"/>
      <c r="Q49" s="617"/>
      <c r="R49" s="617"/>
      <c r="S49" s="617"/>
      <c r="T49" s="617"/>
      <c r="U49" s="617"/>
    </row>
    <row r="50" spans="1:21" x14ac:dyDescent="0.35">
      <c r="F50" s="617"/>
      <c r="H50" s="617"/>
      <c r="I50" s="617"/>
      <c r="L50" s="617"/>
      <c r="M50" s="617"/>
      <c r="N50" s="617"/>
      <c r="O50" s="845"/>
      <c r="P50" s="1049"/>
      <c r="Q50" s="617"/>
      <c r="R50" s="617"/>
      <c r="S50" s="617"/>
      <c r="T50" s="617"/>
      <c r="U50" s="617"/>
    </row>
    <row r="51" spans="1:21" s="667" customFormat="1" ht="23.5" x14ac:dyDescent="0.55000000000000004">
      <c r="A51" s="1050" t="s">
        <v>335</v>
      </c>
      <c r="O51" s="648"/>
      <c r="P51" s="1051"/>
    </row>
    <row r="52" spans="1:21" s="667" customFormat="1" ht="24" thickBot="1" x14ac:dyDescent="0.6">
      <c r="A52" s="1585" t="s">
        <v>916</v>
      </c>
      <c r="B52" s="1586"/>
      <c r="C52" s="1525" t="s">
        <v>330</v>
      </c>
      <c r="D52" s="1526"/>
      <c r="E52" s="648"/>
      <c r="Q52" s="1035"/>
      <c r="R52" s="1036"/>
      <c r="S52" s="1035"/>
      <c r="T52" s="1035"/>
      <c r="U52" s="1035"/>
    </row>
    <row r="53" spans="1:21" ht="55.5" x14ac:dyDescent="0.35">
      <c r="A53" s="615" t="s">
        <v>912</v>
      </c>
      <c r="B53" s="765" t="s">
        <v>914</v>
      </c>
      <c r="C53" s="616" t="s">
        <v>372</v>
      </c>
      <c r="F53" s="617"/>
      <c r="H53" s="617"/>
      <c r="I53" s="617"/>
      <c r="L53" s="617"/>
      <c r="M53" s="617"/>
      <c r="N53" s="617"/>
      <c r="O53" s="617"/>
      <c r="P53" s="617"/>
      <c r="Q53" s="617"/>
      <c r="R53" s="617"/>
      <c r="S53" s="617"/>
      <c r="T53" s="617"/>
      <c r="U53" s="617"/>
    </row>
    <row r="54" spans="1:21" x14ac:dyDescent="0.35">
      <c r="A54" s="628" t="s">
        <v>881</v>
      </c>
      <c r="B54" s="622"/>
      <c r="C54" s="624">
        <f>B54*'Emission Factors'!$D$732/1000</f>
        <v>0</v>
      </c>
      <c r="D54" s="618"/>
      <c r="E54" s="618"/>
      <c r="F54" s="618"/>
      <c r="G54" s="618"/>
      <c r="H54" s="618"/>
      <c r="I54" s="619"/>
      <c r="J54" s="618"/>
      <c r="K54" s="618"/>
      <c r="M54" s="617"/>
      <c r="N54" s="617"/>
      <c r="O54" s="617"/>
      <c r="P54" s="617"/>
      <c r="Q54" s="617"/>
      <c r="R54" s="617"/>
      <c r="S54" s="617"/>
      <c r="T54" s="617"/>
      <c r="U54" s="617"/>
    </row>
    <row r="55" spans="1:21" x14ac:dyDescent="0.35">
      <c r="A55" s="628" t="s">
        <v>1812</v>
      </c>
      <c r="B55" s="622"/>
      <c r="C55" s="624">
        <f>B55*'Emission Factors'!D739/1000</f>
        <v>0</v>
      </c>
      <c r="D55" s="618"/>
      <c r="E55" s="618"/>
      <c r="F55" s="618"/>
      <c r="G55" s="618"/>
      <c r="H55" s="618"/>
      <c r="I55" s="619"/>
      <c r="J55" s="618"/>
      <c r="K55" s="618"/>
      <c r="M55" s="617"/>
      <c r="N55" s="617"/>
      <c r="O55" s="617"/>
      <c r="P55" s="617"/>
      <c r="Q55" s="617"/>
      <c r="R55" s="617"/>
      <c r="S55" s="617"/>
      <c r="T55" s="617"/>
      <c r="U55" s="617"/>
    </row>
    <row r="56" spans="1:21" ht="16" thickBot="1" x14ac:dyDescent="0.4">
      <c r="A56" s="628" t="s">
        <v>1813</v>
      </c>
      <c r="B56" s="622"/>
      <c r="C56" s="1048">
        <f>B56*'Emission Factors'!D742/1000</f>
        <v>0</v>
      </c>
      <c r="D56" s="618"/>
      <c r="E56" s="618"/>
      <c r="F56" s="618"/>
      <c r="G56" s="618"/>
      <c r="H56" s="618"/>
      <c r="I56" s="619"/>
      <c r="J56" s="618"/>
      <c r="K56" s="618"/>
      <c r="M56" s="617"/>
      <c r="N56" s="617"/>
      <c r="O56" s="617"/>
      <c r="P56" s="617"/>
      <c r="Q56" s="617"/>
      <c r="R56" s="617"/>
      <c r="S56" s="617"/>
      <c r="T56" s="617"/>
      <c r="U56" s="617"/>
    </row>
    <row r="57" spans="1:21" x14ac:dyDescent="0.35">
      <c r="A57" s="693" t="s">
        <v>1917</v>
      </c>
      <c r="F57" s="617"/>
      <c r="H57" s="617"/>
      <c r="I57" s="618"/>
      <c r="J57" s="618"/>
      <c r="K57" s="618"/>
      <c r="N57" s="619"/>
      <c r="R57" s="617"/>
      <c r="S57" s="617"/>
      <c r="T57" s="617"/>
      <c r="U57" s="617"/>
    </row>
    <row r="58" spans="1:21" x14ac:dyDescent="0.35">
      <c r="F58" s="617"/>
      <c r="H58" s="617"/>
      <c r="I58" s="617"/>
      <c r="L58" s="617"/>
    </row>
    <row r="59" spans="1:21" s="664" customFormat="1" ht="36" x14ac:dyDescent="0.8">
      <c r="A59" s="1463" t="s">
        <v>917</v>
      </c>
      <c r="B59" s="1464"/>
      <c r="C59" s="1464"/>
      <c r="D59" s="1464"/>
      <c r="E59" s="1464"/>
      <c r="F59" s="1464"/>
      <c r="G59" s="1464"/>
      <c r="H59" s="1464"/>
      <c r="I59" s="1464"/>
      <c r="J59" s="1464"/>
      <c r="K59" s="1464"/>
      <c r="L59" s="1464"/>
      <c r="M59" s="1464"/>
      <c r="N59" s="1464"/>
      <c r="O59" s="1464"/>
      <c r="P59" s="1464"/>
      <c r="Q59" s="1464"/>
      <c r="R59" s="1464"/>
      <c r="S59" s="1033"/>
      <c r="T59" s="1033"/>
      <c r="U59" s="1033"/>
    </row>
    <row r="60" spans="1:21" x14ac:dyDescent="0.35">
      <c r="A60" s="845"/>
    </row>
    <row r="61" spans="1:21" s="667" customFormat="1" ht="24" thickBot="1" x14ac:dyDescent="0.6">
      <c r="A61" s="1585" t="s">
        <v>918</v>
      </c>
      <c r="B61" s="1586"/>
      <c r="C61" s="1525" t="s">
        <v>330</v>
      </c>
      <c r="D61" s="1526"/>
      <c r="F61" s="1046"/>
      <c r="H61" s="851"/>
      <c r="I61" s="851"/>
      <c r="M61" s="1035"/>
      <c r="N61" s="1035"/>
      <c r="O61" s="1035"/>
      <c r="P61" s="1035"/>
      <c r="Q61" s="1035"/>
      <c r="R61" s="1036"/>
      <c r="S61" s="1035"/>
      <c r="T61" s="1035"/>
      <c r="U61" s="1035"/>
    </row>
    <row r="62" spans="1:21" ht="37" x14ac:dyDescent="0.35">
      <c r="A62" s="615" t="s">
        <v>1824</v>
      </c>
      <c r="B62" s="616" t="s">
        <v>372</v>
      </c>
      <c r="C62" s="619"/>
      <c r="D62" s="618"/>
      <c r="E62" s="618"/>
      <c r="F62" s="618"/>
      <c r="H62" s="617"/>
      <c r="I62" s="617"/>
      <c r="L62" s="617"/>
      <c r="M62" s="617"/>
      <c r="N62" s="617"/>
      <c r="O62" s="617"/>
      <c r="P62" s="617"/>
      <c r="Q62" s="617"/>
      <c r="R62" s="617"/>
      <c r="S62" s="617"/>
      <c r="T62" s="617"/>
      <c r="U62" s="617"/>
    </row>
    <row r="63" spans="1:21" ht="16" thickBot="1" x14ac:dyDescent="0.4">
      <c r="A63" s="1037"/>
      <c r="B63" s="1048">
        <f>A63*'Emission Factors'!$D$729/1000</f>
        <v>0</v>
      </c>
      <c r="C63" s="619"/>
      <c r="D63" s="618"/>
      <c r="E63" s="618"/>
      <c r="F63" s="618"/>
      <c r="H63" s="617"/>
      <c r="I63" s="617"/>
      <c r="L63" s="617"/>
      <c r="M63" s="617"/>
      <c r="N63" s="617"/>
      <c r="O63" s="617"/>
      <c r="P63" s="617"/>
      <c r="Q63" s="617"/>
      <c r="R63" s="617"/>
      <c r="S63" s="617"/>
      <c r="T63" s="617"/>
      <c r="U63" s="617"/>
    </row>
    <row r="64" spans="1:21" x14ac:dyDescent="0.35">
      <c r="A64" s="693"/>
      <c r="F64" s="617"/>
      <c r="H64" s="617"/>
      <c r="I64" s="617"/>
      <c r="L64" s="617"/>
    </row>
    <row r="65" spans="1:21" s="667" customFormat="1" ht="23.5" x14ac:dyDescent="0.55000000000000004">
      <c r="A65" s="1050" t="s">
        <v>335</v>
      </c>
      <c r="O65" s="648"/>
      <c r="P65" s="1051"/>
    </row>
    <row r="66" spans="1:21" s="667" customFormat="1" ht="24" thickBot="1" x14ac:dyDescent="0.6">
      <c r="A66" s="1589" t="s">
        <v>919</v>
      </c>
      <c r="B66" s="1590"/>
      <c r="C66" s="1525" t="s">
        <v>330</v>
      </c>
      <c r="D66" s="1526"/>
      <c r="E66" s="648"/>
      <c r="Q66" s="1035"/>
      <c r="R66" s="1036"/>
      <c r="S66" s="1035"/>
      <c r="T66" s="1035"/>
      <c r="U66" s="1035"/>
    </row>
    <row r="67" spans="1:21" ht="37" x14ac:dyDescent="0.35">
      <c r="A67" s="615" t="s">
        <v>920</v>
      </c>
      <c r="B67" s="616" t="s">
        <v>372</v>
      </c>
      <c r="F67" s="617"/>
      <c r="H67" s="617"/>
      <c r="I67" s="617"/>
      <c r="L67" s="617"/>
      <c r="M67" s="617"/>
      <c r="N67" s="617"/>
      <c r="O67" s="617"/>
      <c r="P67" s="617"/>
      <c r="Q67" s="617"/>
      <c r="R67" s="617"/>
      <c r="S67" s="617"/>
      <c r="T67" s="617"/>
      <c r="U67" s="617"/>
    </row>
    <row r="68" spans="1:21" ht="16" thickBot="1" x14ac:dyDescent="0.4">
      <c r="A68" s="621"/>
      <c r="B68" s="1048">
        <f>A68*'Emission Factors'!$D$728/1000</f>
        <v>0</v>
      </c>
      <c r="C68" s="618"/>
      <c r="D68" s="618"/>
      <c r="E68" s="618"/>
      <c r="F68" s="618"/>
      <c r="G68" s="618"/>
      <c r="H68" s="619"/>
      <c r="I68" s="618"/>
      <c r="J68" s="618"/>
      <c r="K68" s="618"/>
      <c r="L68" s="617"/>
      <c r="M68" s="617"/>
      <c r="N68" s="617"/>
      <c r="O68" s="617"/>
      <c r="P68" s="617"/>
      <c r="Q68" s="617"/>
      <c r="R68" s="617"/>
      <c r="S68" s="617"/>
      <c r="T68" s="617"/>
      <c r="U68" s="617"/>
    </row>
    <row r="69" spans="1:21" x14ac:dyDescent="0.35">
      <c r="A69" s="693"/>
      <c r="F69" s="617"/>
      <c r="H69" s="617"/>
      <c r="I69" s="617"/>
      <c r="L69" s="617"/>
    </row>
    <row r="70" spans="1:21" x14ac:dyDescent="0.35">
      <c r="F70" s="617"/>
      <c r="H70" s="617"/>
      <c r="I70" s="617"/>
      <c r="L70" s="617"/>
    </row>
    <row r="71" spans="1:21" s="664" customFormat="1" ht="36" x14ac:dyDescent="0.8">
      <c r="A71" s="1463" t="s">
        <v>835</v>
      </c>
      <c r="B71" s="1464"/>
      <c r="C71" s="1464"/>
      <c r="D71" s="1464"/>
      <c r="E71" s="1464"/>
      <c r="F71" s="1464"/>
      <c r="G71" s="1464"/>
      <c r="H71" s="1464"/>
      <c r="I71" s="1464"/>
      <c r="J71" s="1464"/>
      <c r="K71" s="1464"/>
      <c r="L71" s="1464"/>
      <c r="M71" s="1464"/>
      <c r="N71" s="1464"/>
      <c r="O71" s="1464"/>
      <c r="P71" s="1464"/>
      <c r="Q71" s="1464"/>
      <c r="R71" s="1464"/>
      <c r="S71" s="1033"/>
      <c r="T71" s="1033"/>
      <c r="U71" s="1033"/>
    </row>
    <row r="72" spans="1:21" x14ac:dyDescent="0.35">
      <c r="A72" s="845"/>
      <c r="F72" s="693"/>
    </row>
    <row r="73" spans="1:21" s="667" customFormat="1" ht="24" thickBot="1" x14ac:dyDescent="0.6">
      <c r="A73" s="648"/>
      <c r="B73" s="1525" t="s">
        <v>330</v>
      </c>
      <c r="C73" s="1526"/>
      <c r="E73" s="1046"/>
      <c r="G73" s="851"/>
      <c r="H73" s="851"/>
      <c r="K73" s="1035"/>
      <c r="L73" s="1035"/>
      <c r="M73" s="1035"/>
      <c r="N73" s="1035"/>
      <c r="O73" s="1035"/>
      <c r="P73" s="1035"/>
      <c r="Q73" s="1036"/>
      <c r="R73" s="1035"/>
      <c r="S73" s="1035"/>
      <c r="T73" s="1035"/>
    </row>
    <row r="74" spans="1:21" ht="55.5" x14ac:dyDescent="0.35">
      <c r="A74" s="615" t="s">
        <v>921</v>
      </c>
      <c r="B74" s="615" t="s">
        <v>902</v>
      </c>
      <c r="C74" s="616" t="s">
        <v>372</v>
      </c>
      <c r="D74" s="619"/>
      <c r="E74" s="619"/>
      <c r="F74" s="634"/>
      <c r="G74" s="618"/>
      <c r="J74" s="619"/>
      <c r="K74" s="618"/>
      <c r="N74" s="617"/>
      <c r="O74" s="617"/>
      <c r="P74" s="617"/>
      <c r="Q74" s="617"/>
      <c r="R74" s="617"/>
      <c r="S74" s="617"/>
      <c r="T74" s="617"/>
      <c r="U74" s="617"/>
    </row>
    <row r="75" spans="1:21" x14ac:dyDescent="0.35">
      <c r="A75" s="620" t="s">
        <v>922</v>
      </c>
      <c r="B75" s="621"/>
      <c r="C75" s="624">
        <f>B75*'Emission Factors'!$D$753/1000</f>
        <v>0</v>
      </c>
      <c r="D75" s="618"/>
      <c r="E75" s="618"/>
      <c r="F75" s="617"/>
      <c r="H75" s="617"/>
      <c r="I75" s="617"/>
      <c r="J75" s="619"/>
      <c r="K75" s="618"/>
      <c r="N75" s="617"/>
      <c r="O75" s="617"/>
      <c r="P75" s="617"/>
      <c r="Q75" s="617"/>
      <c r="R75" s="617"/>
      <c r="S75" s="617"/>
      <c r="T75" s="617"/>
      <c r="U75" s="617"/>
    </row>
    <row r="76" spans="1:21" x14ac:dyDescent="0.35">
      <c r="A76" s="620" t="s">
        <v>923</v>
      </c>
      <c r="B76" s="621"/>
      <c r="C76" s="624">
        <f>B76*'Emission Factors'!$D$754/1000</f>
        <v>0</v>
      </c>
      <c r="D76" s="618"/>
      <c r="E76" s="618"/>
      <c r="F76" s="617"/>
      <c r="H76" s="617"/>
      <c r="I76" s="617"/>
      <c r="J76" s="619"/>
      <c r="K76" s="618"/>
      <c r="N76" s="617"/>
      <c r="O76" s="617"/>
      <c r="P76" s="617"/>
      <c r="Q76" s="617"/>
      <c r="R76" s="617"/>
      <c r="S76" s="617"/>
      <c r="T76" s="617"/>
      <c r="U76" s="617"/>
    </row>
    <row r="77" spans="1:21" x14ac:dyDescent="0.35">
      <c r="A77" s="620" t="s">
        <v>924</v>
      </c>
      <c r="B77" s="621"/>
      <c r="C77" s="624">
        <f>B77*'Emission Factors'!$D$755/1000</f>
        <v>0</v>
      </c>
      <c r="D77" s="618"/>
      <c r="E77" s="618"/>
      <c r="F77" s="617"/>
      <c r="H77" s="617"/>
      <c r="I77" s="617"/>
      <c r="J77" s="619"/>
      <c r="K77" s="618"/>
      <c r="N77" s="617"/>
      <c r="O77" s="617"/>
      <c r="P77" s="617"/>
      <c r="Q77" s="617"/>
      <c r="R77" s="617"/>
      <c r="S77" s="617"/>
      <c r="T77" s="617"/>
      <c r="U77" s="617"/>
    </row>
    <row r="78" spans="1:21" x14ac:dyDescent="0.35">
      <c r="A78" s="909" t="s">
        <v>925</v>
      </c>
      <c r="B78" s="618"/>
      <c r="C78" s="618"/>
      <c r="D78" s="618"/>
      <c r="E78" s="618"/>
      <c r="F78" s="618"/>
      <c r="H78" s="617"/>
      <c r="I78" s="617"/>
      <c r="K78" s="619"/>
      <c r="O78" s="617"/>
      <c r="P78" s="617"/>
      <c r="Q78" s="617"/>
      <c r="R78" s="617"/>
      <c r="S78" s="617"/>
      <c r="T78" s="617"/>
      <c r="U78" s="617"/>
    </row>
    <row r="79" spans="1:21" x14ac:dyDescent="0.35">
      <c r="F79" s="617"/>
      <c r="H79" s="617"/>
      <c r="I79" s="617"/>
      <c r="J79" s="618"/>
      <c r="K79" s="618"/>
      <c r="O79" s="619"/>
      <c r="R79" s="618"/>
      <c r="S79" s="617"/>
      <c r="T79" s="617"/>
      <c r="U79" s="617"/>
    </row>
    <row r="80" spans="1:21" s="664" customFormat="1" ht="36" x14ac:dyDescent="0.8">
      <c r="A80" s="1463" t="s">
        <v>141</v>
      </c>
      <c r="B80" s="1464"/>
      <c r="C80" s="1464"/>
      <c r="D80" s="1464"/>
      <c r="E80" s="1464"/>
      <c r="F80" s="1464"/>
      <c r="G80" s="1464"/>
      <c r="H80" s="1464"/>
      <c r="I80" s="1464"/>
      <c r="J80" s="1464"/>
      <c r="K80" s="1464"/>
      <c r="L80" s="1464"/>
      <c r="M80" s="1464"/>
      <c r="N80" s="1464"/>
      <c r="O80" s="1464"/>
      <c r="P80" s="1464"/>
      <c r="Q80" s="1464"/>
      <c r="R80" s="1464"/>
      <c r="S80" s="1033"/>
      <c r="T80" s="1033"/>
      <c r="U80" s="1033"/>
    </row>
    <row r="81" spans="1:22" x14ac:dyDescent="0.35">
      <c r="A81" s="845"/>
      <c r="F81" s="693"/>
    </row>
    <row r="82" spans="1:22" s="667" customFormat="1" ht="24" thickBot="1" x14ac:dyDescent="0.6">
      <c r="A82" s="648"/>
      <c r="C82" s="1525" t="s">
        <v>330</v>
      </c>
      <c r="D82" s="1526"/>
      <c r="F82" s="1046"/>
      <c r="H82" s="851"/>
      <c r="I82" s="851"/>
      <c r="L82" s="1035"/>
      <c r="M82" s="1035"/>
      <c r="N82" s="1035"/>
      <c r="O82" s="1035"/>
      <c r="P82" s="1035"/>
      <c r="Q82" s="1035"/>
      <c r="R82" s="1036"/>
      <c r="S82" s="1035"/>
      <c r="T82" s="1035"/>
      <c r="U82" s="1035"/>
    </row>
    <row r="83" spans="1:22" ht="55.5" x14ac:dyDescent="0.35">
      <c r="A83" s="615" t="s">
        <v>921</v>
      </c>
      <c r="B83" s="615" t="s">
        <v>902</v>
      </c>
      <c r="C83" s="765" t="s">
        <v>903</v>
      </c>
      <c r="D83" s="616" t="s">
        <v>372</v>
      </c>
      <c r="E83" s="619"/>
      <c r="F83" s="619"/>
      <c r="G83" s="634"/>
      <c r="J83" s="634"/>
      <c r="K83" s="619"/>
      <c r="N83" s="619"/>
      <c r="R83" s="617"/>
      <c r="S83" s="617"/>
      <c r="T83" s="617"/>
      <c r="U83" s="617"/>
    </row>
    <row r="84" spans="1:22" x14ac:dyDescent="0.35">
      <c r="A84" s="620" t="s">
        <v>926</v>
      </c>
      <c r="B84" s="621"/>
      <c r="C84" s="707">
        <v>0.13600000000000001</v>
      </c>
      <c r="D84" s="624">
        <f>B84*'Emission Factors'!$D$749/1000</f>
        <v>0</v>
      </c>
      <c r="E84" s="618"/>
      <c r="F84" s="618"/>
      <c r="H84" s="617"/>
      <c r="I84" s="617"/>
      <c r="K84" s="619"/>
      <c r="N84" s="619"/>
      <c r="R84" s="617"/>
      <c r="S84" s="617"/>
      <c r="T84" s="617"/>
      <c r="U84" s="617"/>
    </row>
    <row r="85" spans="1:22" x14ac:dyDescent="0.35">
      <c r="A85" s="620" t="s">
        <v>927</v>
      </c>
      <c r="B85" s="621"/>
      <c r="C85" s="707">
        <v>1.2508482416231228E-2</v>
      </c>
      <c r="D85" s="624">
        <f>B85*'Emission Factors'!$D$750/1000</f>
        <v>0</v>
      </c>
      <c r="F85" s="617"/>
      <c r="H85" s="617"/>
      <c r="I85" s="617"/>
      <c r="L85" s="617"/>
    </row>
    <row r="86" spans="1:22" x14ac:dyDescent="0.35">
      <c r="A86" s="620" t="s">
        <v>928</v>
      </c>
      <c r="B86" s="621"/>
      <c r="C86" s="707">
        <v>0.1111722908844396</v>
      </c>
      <c r="D86" s="624">
        <f>B86*'Emission Factors'!$D$751/1000</f>
        <v>0</v>
      </c>
      <c r="F86" s="617"/>
      <c r="H86" s="617"/>
      <c r="I86" s="617"/>
      <c r="L86" s="617"/>
    </row>
    <row r="87" spans="1:22" x14ac:dyDescent="0.35">
      <c r="A87" s="909" t="s">
        <v>925</v>
      </c>
      <c r="F87" s="617"/>
      <c r="H87" s="617"/>
      <c r="I87" s="617"/>
      <c r="L87" s="617"/>
    </row>
    <row r="88" spans="1:22" x14ac:dyDescent="0.35">
      <c r="F88" s="617"/>
      <c r="H88" s="617"/>
      <c r="I88" s="617"/>
      <c r="L88" s="617"/>
    </row>
    <row r="89" spans="1:22" x14ac:dyDescent="0.35">
      <c r="F89" s="617"/>
      <c r="H89" s="617"/>
      <c r="I89" s="617"/>
      <c r="L89" s="617"/>
    </row>
    <row r="90" spans="1:22" ht="36" x14ac:dyDescent="0.8">
      <c r="A90" s="1463" t="s">
        <v>1845</v>
      </c>
      <c r="B90" s="1464"/>
      <c r="C90" s="1464"/>
      <c r="D90" s="1464"/>
      <c r="E90" s="1464"/>
      <c r="F90" s="1464"/>
      <c r="G90" s="1464"/>
      <c r="H90" s="1464"/>
      <c r="I90" s="1464"/>
      <c r="J90" s="1464"/>
      <c r="K90" s="1464"/>
      <c r="L90" s="1464"/>
      <c r="M90" s="1464"/>
      <c r="N90" s="1464"/>
      <c r="O90" s="1464"/>
      <c r="P90" s="1464"/>
      <c r="Q90" s="1464"/>
      <c r="R90" s="1464"/>
    </row>
    <row r="91" spans="1:22" ht="16" thickBot="1" x14ac:dyDescent="0.4">
      <c r="F91" s="617"/>
      <c r="H91" s="617"/>
      <c r="I91" s="617"/>
      <c r="L91" s="617"/>
    </row>
    <row r="92" spans="1:22" ht="55.5" x14ac:dyDescent="0.35">
      <c r="A92" s="615" t="s">
        <v>1909</v>
      </c>
      <c r="B92" s="615" t="s">
        <v>1910</v>
      </c>
      <c r="C92" s="615" t="s">
        <v>1911</v>
      </c>
      <c r="D92" s="615" t="s">
        <v>1912</v>
      </c>
      <c r="E92" s="615" t="s">
        <v>1847</v>
      </c>
      <c r="F92" s="616" t="s">
        <v>561</v>
      </c>
      <c r="H92" s="617"/>
      <c r="I92" s="617"/>
      <c r="L92" s="617"/>
      <c r="M92" s="617"/>
      <c r="R92" s="618"/>
      <c r="S92" s="619"/>
      <c r="V92" s="618"/>
    </row>
    <row r="93" spans="1:22" x14ac:dyDescent="0.35">
      <c r="A93" s="620" t="s">
        <v>1851</v>
      </c>
      <c r="B93" s="621"/>
      <c r="C93" s="622"/>
      <c r="D93" s="623" t="str">
        <f>IFERROR(B93/C93," ")</f>
        <v xml:space="preserve"> </v>
      </c>
      <c r="E93" s="629">
        <f>'Emission Factors'!D823</f>
        <v>50</v>
      </c>
      <c r="F93" s="624" t="str">
        <f>IFERROR(D93*E93*0.001," ")</f>
        <v xml:space="preserve"> </v>
      </c>
      <c r="H93" s="617"/>
      <c r="I93" s="617"/>
      <c r="L93" s="617"/>
      <c r="M93" s="617"/>
      <c r="R93" s="618"/>
      <c r="S93" s="619"/>
      <c r="V93" s="618"/>
    </row>
    <row r="94" spans="1:22" x14ac:dyDescent="0.35">
      <c r="A94" s="620" t="s">
        <v>159</v>
      </c>
      <c r="B94" s="621"/>
      <c r="C94" s="622"/>
      <c r="D94" s="623" t="str">
        <f t="shared" ref="D94:D148" si="0">IFERROR(B94/C94," ")</f>
        <v xml:space="preserve"> </v>
      </c>
      <c r="E94" s="629">
        <f>'Emission Factors'!D824</f>
        <v>38.9</v>
      </c>
      <c r="F94" s="624" t="str">
        <f t="shared" ref="F94:F148" si="1">IFERROR(D94*E94*0.001," ")</f>
        <v xml:space="preserve"> </v>
      </c>
      <c r="H94" s="617"/>
      <c r="I94" s="617"/>
      <c r="L94" s="617"/>
      <c r="M94" s="617"/>
      <c r="R94" s="618"/>
      <c r="S94" s="619"/>
      <c r="V94" s="618"/>
    </row>
    <row r="95" spans="1:22" x14ac:dyDescent="0.35">
      <c r="A95" s="620" t="s">
        <v>1854</v>
      </c>
      <c r="B95" s="621"/>
      <c r="C95" s="622"/>
      <c r="D95" s="623" t="str">
        <f t="shared" si="0"/>
        <v xml:space="preserve"> </v>
      </c>
      <c r="E95" s="629">
        <f>'Emission Factors'!D825</f>
        <v>11.9</v>
      </c>
      <c r="F95" s="624" t="str">
        <f t="shared" si="1"/>
        <v xml:space="preserve"> </v>
      </c>
      <c r="H95" s="617"/>
      <c r="I95" s="617"/>
      <c r="L95" s="617"/>
      <c r="M95" s="617"/>
      <c r="R95" s="618"/>
      <c r="S95" s="619"/>
      <c r="V95" s="618"/>
    </row>
    <row r="96" spans="1:22" x14ac:dyDescent="0.35">
      <c r="A96" s="620" t="s">
        <v>1855</v>
      </c>
      <c r="B96" s="621"/>
      <c r="C96" s="622"/>
      <c r="D96" s="623" t="str">
        <f t="shared" si="0"/>
        <v xml:space="preserve"> </v>
      </c>
      <c r="E96" s="629">
        <f>'Emission Factors'!D826</f>
        <v>11.6</v>
      </c>
      <c r="F96" s="624" t="str">
        <f t="shared" si="1"/>
        <v xml:space="preserve"> </v>
      </c>
      <c r="H96" s="617"/>
      <c r="I96" s="617"/>
      <c r="L96" s="617"/>
      <c r="M96" s="617"/>
      <c r="R96" s="618"/>
      <c r="S96" s="619"/>
      <c r="V96" s="618"/>
    </row>
    <row r="97" spans="1:22" x14ac:dyDescent="0.35">
      <c r="A97" s="620" t="s">
        <v>1856</v>
      </c>
      <c r="B97" s="621"/>
      <c r="C97" s="622"/>
      <c r="D97" s="623" t="str">
        <f t="shared" si="0"/>
        <v xml:space="preserve"> </v>
      </c>
      <c r="E97" s="629">
        <f>'Emission Factors'!D827</f>
        <v>14.9</v>
      </c>
      <c r="F97" s="624" t="str">
        <f t="shared" si="1"/>
        <v xml:space="preserve"> </v>
      </c>
      <c r="H97" s="617"/>
      <c r="I97" s="617"/>
      <c r="L97" s="617"/>
      <c r="M97" s="617"/>
      <c r="R97" s="618"/>
      <c r="S97" s="619"/>
      <c r="V97" s="618"/>
    </row>
    <row r="98" spans="1:22" x14ac:dyDescent="0.35">
      <c r="A98" s="620" t="s">
        <v>1857</v>
      </c>
      <c r="B98" s="621"/>
      <c r="C98" s="622"/>
      <c r="D98" s="623" t="str">
        <f t="shared" si="0"/>
        <v xml:space="preserve"> </v>
      </c>
      <c r="E98" s="629">
        <f>'Emission Factors'!D828</f>
        <v>17.100000000000001</v>
      </c>
      <c r="F98" s="624" t="str">
        <f t="shared" si="1"/>
        <v xml:space="preserve"> </v>
      </c>
      <c r="H98" s="617"/>
      <c r="I98" s="617"/>
      <c r="L98" s="617"/>
      <c r="M98" s="617"/>
      <c r="R98" s="618"/>
      <c r="S98" s="619"/>
      <c r="V98" s="618"/>
    </row>
    <row r="99" spans="1:22" x14ac:dyDescent="0.35">
      <c r="A99" s="620" t="s">
        <v>1858</v>
      </c>
      <c r="B99" s="621"/>
      <c r="C99" s="622"/>
      <c r="D99" s="623" t="str">
        <f t="shared" si="0"/>
        <v xml:space="preserve"> </v>
      </c>
      <c r="E99" s="629">
        <f>'Emission Factors'!D829</f>
        <v>61.1</v>
      </c>
      <c r="F99" s="624" t="str">
        <f t="shared" si="1"/>
        <v xml:space="preserve"> </v>
      </c>
      <c r="H99" s="617"/>
      <c r="I99" s="617"/>
      <c r="L99" s="617"/>
      <c r="M99" s="617"/>
      <c r="R99" s="618"/>
      <c r="S99" s="619"/>
      <c r="V99" s="618"/>
    </row>
    <row r="100" spans="1:22" x14ac:dyDescent="0.35">
      <c r="A100" s="620" t="s">
        <v>1859</v>
      </c>
      <c r="B100" s="621"/>
      <c r="C100" s="622"/>
      <c r="D100" s="623" t="str">
        <f t="shared" si="0"/>
        <v xml:space="preserve"> </v>
      </c>
      <c r="E100" s="629">
        <f>'Emission Factors'!D830</f>
        <v>30.8</v>
      </c>
      <c r="F100" s="624" t="str">
        <f t="shared" si="1"/>
        <v xml:space="preserve"> </v>
      </c>
      <c r="H100" s="617"/>
      <c r="I100" s="617"/>
      <c r="L100" s="617"/>
      <c r="M100" s="617"/>
      <c r="R100" s="618"/>
      <c r="S100" s="619"/>
      <c r="V100" s="618"/>
    </row>
    <row r="101" spans="1:22" x14ac:dyDescent="0.35">
      <c r="A101" s="620" t="s">
        <v>1860</v>
      </c>
      <c r="B101" s="621"/>
      <c r="C101" s="622"/>
      <c r="D101" s="623" t="str">
        <f t="shared" si="0"/>
        <v xml:space="preserve"> </v>
      </c>
      <c r="E101" s="629">
        <f>'Emission Factors'!D831</f>
        <v>60.7</v>
      </c>
      <c r="F101" s="624" t="str">
        <f t="shared" si="1"/>
        <v xml:space="preserve"> </v>
      </c>
      <c r="H101" s="617"/>
      <c r="I101" s="617"/>
      <c r="L101" s="617"/>
      <c r="M101" s="617"/>
      <c r="R101" s="618"/>
      <c r="S101" s="619"/>
      <c r="V101" s="618"/>
    </row>
    <row r="102" spans="1:22" x14ac:dyDescent="0.35">
      <c r="A102" s="620" t="s">
        <v>1861</v>
      </c>
      <c r="B102" s="621"/>
      <c r="C102" s="622"/>
      <c r="D102" s="623" t="str">
        <f t="shared" si="0"/>
        <v xml:space="preserve"> </v>
      </c>
      <c r="E102" s="629">
        <f>'Emission Factors'!D832</f>
        <v>11</v>
      </c>
      <c r="F102" s="624" t="str">
        <f t="shared" si="1"/>
        <v xml:space="preserve"> </v>
      </c>
      <c r="H102" s="617"/>
      <c r="I102" s="617"/>
      <c r="L102" s="617"/>
      <c r="M102" s="617"/>
      <c r="R102" s="618"/>
      <c r="S102" s="619"/>
      <c r="V102" s="618"/>
    </row>
    <row r="103" spans="1:22" x14ac:dyDescent="0.35">
      <c r="A103" s="620" t="s">
        <v>1862</v>
      </c>
      <c r="B103" s="621"/>
      <c r="C103" s="622"/>
      <c r="D103" s="623" t="str">
        <f t="shared" si="0"/>
        <v xml:space="preserve"> </v>
      </c>
      <c r="E103" s="629">
        <f>'Emission Factors'!D833</f>
        <v>7</v>
      </c>
      <c r="F103" s="624" t="str">
        <f t="shared" si="1"/>
        <v xml:space="preserve"> </v>
      </c>
      <c r="H103" s="617"/>
      <c r="I103" s="617"/>
      <c r="L103" s="617"/>
      <c r="M103" s="617"/>
      <c r="R103" s="618"/>
      <c r="S103" s="619"/>
      <c r="V103" s="618"/>
    </row>
    <row r="104" spans="1:22" x14ac:dyDescent="0.35">
      <c r="A104" s="620" t="s">
        <v>1863</v>
      </c>
      <c r="B104" s="621"/>
      <c r="C104" s="622"/>
      <c r="D104" s="623" t="str">
        <f t="shared" si="0"/>
        <v xml:space="preserve"> </v>
      </c>
      <c r="E104" s="629">
        <f>'Emission Factors'!D834</f>
        <v>31.8</v>
      </c>
      <c r="F104" s="624" t="str">
        <f t="shared" si="1"/>
        <v xml:space="preserve"> </v>
      </c>
      <c r="H104" s="617"/>
      <c r="I104" s="617"/>
      <c r="L104" s="617"/>
      <c r="M104" s="617"/>
      <c r="R104" s="618"/>
      <c r="S104" s="619"/>
      <c r="V104" s="618"/>
    </row>
    <row r="105" spans="1:22" x14ac:dyDescent="0.35">
      <c r="A105" s="620" t="s">
        <v>1864</v>
      </c>
      <c r="B105" s="621"/>
      <c r="C105" s="622"/>
      <c r="D105" s="623" t="str">
        <f t="shared" si="0"/>
        <v xml:space="preserve"> </v>
      </c>
      <c r="E105" s="629">
        <f>'Emission Factors'!D835</f>
        <v>54</v>
      </c>
      <c r="F105" s="624" t="str">
        <f t="shared" si="1"/>
        <v xml:space="preserve"> </v>
      </c>
      <c r="H105" s="617"/>
      <c r="I105" s="617"/>
      <c r="L105" s="617"/>
      <c r="M105" s="617"/>
      <c r="R105" s="618"/>
      <c r="S105" s="619"/>
      <c r="V105" s="618"/>
    </row>
    <row r="106" spans="1:22" x14ac:dyDescent="0.35">
      <c r="A106" s="620" t="s">
        <v>1865</v>
      </c>
      <c r="B106" s="621"/>
      <c r="C106" s="622"/>
      <c r="D106" s="623" t="str">
        <f t="shared" si="0"/>
        <v xml:space="preserve"> </v>
      </c>
      <c r="E106" s="629">
        <f>'Emission Factors'!D836</f>
        <v>54.8</v>
      </c>
      <c r="F106" s="624" t="str">
        <f t="shared" si="1"/>
        <v xml:space="preserve"> </v>
      </c>
      <c r="H106" s="617"/>
      <c r="I106" s="617"/>
      <c r="L106" s="617"/>
      <c r="M106" s="617"/>
      <c r="R106" s="618"/>
      <c r="S106" s="619"/>
      <c r="V106" s="618"/>
    </row>
    <row r="107" spans="1:22" x14ac:dyDescent="0.35">
      <c r="A107" s="620" t="s">
        <v>1866</v>
      </c>
      <c r="B107" s="621"/>
      <c r="C107" s="622"/>
      <c r="D107" s="623" t="str">
        <f t="shared" si="0"/>
        <v xml:space="preserve"> </v>
      </c>
      <c r="E107" s="629">
        <f>'Emission Factors'!D837</f>
        <v>11.1</v>
      </c>
      <c r="F107" s="624" t="str">
        <f t="shared" si="1"/>
        <v xml:space="preserve"> </v>
      </c>
      <c r="H107" s="617"/>
      <c r="I107" s="617"/>
      <c r="L107" s="617"/>
      <c r="M107" s="617"/>
      <c r="R107" s="618"/>
      <c r="S107" s="619"/>
      <c r="V107" s="618"/>
    </row>
    <row r="108" spans="1:22" x14ac:dyDescent="0.35">
      <c r="A108" s="620" t="s">
        <v>1867</v>
      </c>
      <c r="B108" s="621"/>
      <c r="C108" s="622"/>
      <c r="D108" s="623" t="str">
        <f t="shared" si="0"/>
        <v xml:space="preserve"> </v>
      </c>
      <c r="E108" s="629">
        <f>'Emission Factors'!D838</f>
        <v>7.5</v>
      </c>
      <c r="F108" s="624" t="str">
        <f t="shared" si="1"/>
        <v xml:space="preserve"> </v>
      </c>
      <c r="H108" s="617"/>
      <c r="I108" s="617"/>
      <c r="L108" s="617"/>
      <c r="M108" s="617"/>
      <c r="R108" s="618"/>
      <c r="S108" s="619"/>
      <c r="V108" s="618"/>
    </row>
    <row r="109" spans="1:22" x14ac:dyDescent="0.35">
      <c r="A109" s="620" t="s">
        <v>1868</v>
      </c>
      <c r="B109" s="621"/>
      <c r="C109" s="622"/>
      <c r="D109" s="623" t="str">
        <f t="shared" si="0"/>
        <v xml:space="preserve"> </v>
      </c>
      <c r="E109" s="629">
        <f>'Emission Factors'!D839</f>
        <v>18.2</v>
      </c>
      <c r="F109" s="624" t="str">
        <f t="shared" si="1"/>
        <v xml:space="preserve"> </v>
      </c>
      <c r="H109" s="617"/>
      <c r="I109" s="617"/>
      <c r="L109" s="617"/>
      <c r="M109" s="617"/>
      <c r="R109" s="618"/>
      <c r="S109" s="619"/>
      <c r="V109" s="618"/>
    </row>
    <row r="110" spans="1:22" x14ac:dyDescent="0.35">
      <c r="A110" s="620" t="s">
        <v>1869</v>
      </c>
      <c r="B110" s="621"/>
      <c r="C110" s="622"/>
      <c r="D110" s="623" t="str">
        <f t="shared" si="0"/>
        <v xml:space="preserve"> </v>
      </c>
      <c r="E110" s="629">
        <f>'Emission Factors'!D840</f>
        <v>42.8</v>
      </c>
      <c r="F110" s="624" t="str">
        <f t="shared" si="1"/>
        <v xml:space="preserve"> </v>
      </c>
      <c r="H110" s="617"/>
      <c r="I110" s="617"/>
      <c r="L110" s="617"/>
      <c r="M110" s="617"/>
      <c r="R110" s="618"/>
      <c r="S110" s="619"/>
      <c r="V110" s="618"/>
    </row>
    <row r="111" spans="1:22" x14ac:dyDescent="0.35">
      <c r="A111" s="620" t="s">
        <v>1870</v>
      </c>
      <c r="B111" s="621"/>
      <c r="C111" s="622"/>
      <c r="D111" s="623" t="str">
        <f t="shared" si="0"/>
        <v xml:space="preserve"> </v>
      </c>
      <c r="E111" s="629">
        <f>'Emission Factors'!D841</f>
        <v>66.2</v>
      </c>
      <c r="F111" s="624" t="str">
        <f t="shared" si="1"/>
        <v xml:space="preserve"> </v>
      </c>
      <c r="H111" s="617"/>
      <c r="I111" s="617"/>
      <c r="L111" s="617"/>
      <c r="M111" s="617"/>
      <c r="R111" s="618"/>
      <c r="S111" s="619"/>
      <c r="V111" s="618"/>
    </row>
    <row r="112" spans="1:22" x14ac:dyDescent="0.35">
      <c r="A112" s="620" t="s">
        <v>1871</v>
      </c>
      <c r="B112" s="621"/>
      <c r="C112" s="622"/>
      <c r="D112" s="623" t="str">
        <f t="shared" si="0"/>
        <v xml:space="preserve"> </v>
      </c>
      <c r="E112" s="629">
        <f>'Emission Factors'!D842</f>
        <v>22</v>
      </c>
      <c r="F112" s="624" t="str">
        <f t="shared" si="1"/>
        <v xml:space="preserve"> </v>
      </c>
      <c r="H112" s="617"/>
      <c r="I112" s="617"/>
      <c r="L112" s="617"/>
      <c r="M112" s="617"/>
      <c r="R112" s="618"/>
      <c r="S112" s="619"/>
      <c r="V112" s="618"/>
    </row>
    <row r="113" spans="1:22" x14ac:dyDescent="0.35">
      <c r="A113" s="620" t="s">
        <v>1872</v>
      </c>
      <c r="B113" s="621"/>
      <c r="C113" s="622"/>
      <c r="D113" s="623" t="str">
        <f t="shared" si="0"/>
        <v xml:space="preserve"> </v>
      </c>
      <c r="E113" s="629">
        <f>'Emission Factors'!D843</f>
        <v>66</v>
      </c>
      <c r="F113" s="624" t="str">
        <f t="shared" si="1"/>
        <v xml:space="preserve"> </v>
      </c>
      <c r="H113" s="617"/>
      <c r="I113" s="617"/>
      <c r="L113" s="617"/>
      <c r="M113" s="617"/>
      <c r="R113" s="618"/>
      <c r="S113" s="619"/>
      <c r="V113" s="618"/>
    </row>
    <row r="114" spans="1:22" x14ac:dyDescent="0.35">
      <c r="A114" s="620" t="s">
        <v>1873</v>
      </c>
      <c r="B114" s="621"/>
      <c r="C114" s="622"/>
      <c r="D114" s="623" t="str">
        <f t="shared" si="0"/>
        <v xml:space="preserve"> </v>
      </c>
      <c r="E114" s="629">
        <f>'Emission Factors'!D844</f>
        <v>88.2</v>
      </c>
      <c r="F114" s="624" t="str">
        <f t="shared" si="1"/>
        <v xml:space="preserve"> </v>
      </c>
      <c r="H114" s="617"/>
      <c r="I114" s="617"/>
      <c r="L114" s="617"/>
      <c r="M114" s="617"/>
      <c r="R114" s="618"/>
      <c r="S114" s="619"/>
      <c r="V114" s="618"/>
    </row>
    <row r="115" spans="1:22" x14ac:dyDescent="0.35">
      <c r="A115" s="620" t="s">
        <v>1874</v>
      </c>
      <c r="B115" s="621"/>
      <c r="C115" s="622"/>
      <c r="D115" s="623" t="str">
        <f t="shared" si="0"/>
        <v xml:space="preserve"> </v>
      </c>
      <c r="E115" s="629">
        <f>'Emission Factors'!D845</f>
        <v>23.9</v>
      </c>
      <c r="F115" s="624" t="str">
        <f t="shared" si="1"/>
        <v xml:space="preserve"> </v>
      </c>
      <c r="H115" s="617"/>
      <c r="I115" s="617"/>
      <c r="L115" s="617"/>
      <c r="M115" s="617"/>
      <c r="R115" s="618"/>
      <c r="S115" s="619"/>
      <c r="V115" s="618"/>
    </row>
    <row r="116" spans="1:22" x14ac:dyDescent="0.35">
      <c r="A116" s="620" t="s">
        <v>1875</v>
      </c>
      <c r="B116" s="621"/>
      <c r="C116" s="622"/>
      <c r="D116" s="623" t="str">
        <f t="shared" si="0"/>
        <v xml:space="preserve"> </v>
      </c>
      <c r="E116" s="629">
        <f>'Emission Factors'!D846</f>
        <v>51.8</v>
      </c>
      <c r="F116" s="624" t="str">
        <f t="shared" si="1"/>
        <v xml:space="preserve"> </v>
      </c>
      <c r="H116" s="617"/>
      <c r="I116" s="617"/>
      <c r="L116" s="617"/>
      <c r="M116" s="617"/>
      <c r="R116" s="618"/>
      <c r="S116" s="619"/>
      <c r="V116" s="618"/>
    </row>
    <row r="117" spans="1:22" x14ac:dyDescent="0.35">
      <c r="A117" s="620" t="s">
        <v>1876</v>
      </c>
      <c r="B117" s="621"/>
      <c r="C117" s="622"/>
      <c r="D117" s="623" t="str">
        <f t="shared" si="0"/>
        <v xml:space="preserve"> </v>
      </c>
      <c r="E117" s="629">
        <f>'Emission Factors'!D847</f>
        <v>23.9</v>
      </c>
      <c r="F117" s="624" t="str">
        <f t="shared" si="1"/>
        <v xml:space="preserve"> </v>
      </c>
      <c r="H117" s="617"/>
      <c r="I117" s="617"/>
      <c r="L117" s="617"/>
      <c r="M117" s="617"/>
      <c r="R117" s="618"/>
      <c r="S117" s="619"/>
      <c r="V117" s="618"/>
    </row>
    <row r="118" spans="1:22" x14ac:dyDescent="0.35">
      <c r="A118" s="620" t="s">
        <v>1877</v>
      </c>
      <c r="B118" s="621"/>
      <c r="C118" s="622"/>
      <c r="D118" s="623" t="str">
        <f t="shared" si="0"/>
        <v xml:space="preserve"> </v>
      </c>
      <c r="E118" s="629">
        <f>'Emission Factors'!D848</f>
        <v>54.7</v>
      </c>
      <c r="F118" s="624" t="str">
        <f t="shared" si="1"/>
        <v xml:space="preserve"> </v>
      </c>
      <c r="H118" s="617"/>
      <c r="I118" s="617"/>
      <c r="L118" s="617"/>
      <c r="M118" s="617"/>
      <c r="R118" s="618"/>
      <c r="S118" s="619"/>
      <c r="V118" s="618"/>
    </row>
    <row r="119" spans="1:22" x14ac:dyDescent="0.35">
      <c r="A119" s="620" t="s">
        <v>1878</v>
      </c>
      <c r="B119" s="621"/>
      <c r="C119" s="622"/>
      <c r="D119" s="623" t="str">
        <f t="shared" si="0"/>
        <v xml:space="preserve"> </v>
      </c>
      <c r="E119" s="629">
        <f>'Emission Factors'!D849</f>
        <v>64.5</v>
      </c>
      <c r="F119" s="624" t="str">
        <f t="shared" si="1"/>
        <v xml:space="preserve"> </v>
      </c>
      <c r="H119" s="617"/>
      <c r="I119" s="617"/>
      <c r="L119" s="617"/>
      <c r="M119" s="617"/>
      <c r="R119" s="618"/>
      <c r="S119" s="619"/>
      <c r="V119" s="618"/>
    </row>
    <row r="120" spans="1:22" x14ac:dyDescent="0.35">
      <c r="A120" s="620" t="s">
        <v>1879</v>
      </c>
      <c r="B120" s="621"/>
      <c r="C120" s="622"/>
      <c r="D120" s="623" t="str">
        <f t="shared" si="0"/>
        <v xml:space="preserve"> </v>
      </c>
      <c r="E120" s="629">
        <f>'Emission Factors'!D850</f>
        <v>105.7</v>
      </c>
      <c r="F120" s="624" t="str">
        <f t="shared" si="1"/>
        <v xml:space="preserve"> </v>
      </c>
      <c r="H120" s="617"/>
      <c r="I120" s="617"/>
      <c r="L120" s="617"/>
      <c r="M120" s="617"/>
      <c r="R120" s="618"/>
      <c r="S120" s="619"/>
      <c r="V120" s="618"/>
    </row>
    <row r="121" spans="1:22" x14ac:dyDescent="0.35">
      <c r="A121" s="620" t="s">
        <v>1880</v>
      </c>
      <c r="B121" s="621"/>
      <c r="C121" s="622"/>
      <c r="D121" s="623" t="str">
        <f t="shared" si="0"/>
        <v xml:space="preserve"> </v>
      </c>
      <c r="E121" s="629">
        <f>'Emission Factors'!D851</f>
        <v>68.099999999999994</v>
      </c>
      <c r="F121" s="624" t="str">
        <f t="shared" si="1"/>
        <v xml:space="preserve"> </v>
      </c>
      <c r="H121" s="617"/>
      <c r="I121" s="617"/>
      <c r="L121" s="617"/>
      <c r="M121" s="617"/>
      <c r="R121" s="618"/>
      <c r="S121" s="619"/>
      <c r="V121" s="618"/>
    </row>
    <row r="122" spans="1:22" x14ac:dyDescent="0.35">
      <c r="A122" s="620" t="s">
        <v>1881</v>
      </c>
      <c r="B122" s="621"/>
      <c r="C122" s="622"/>
      <c r="D122" s="623" t="str">
        <f t="shared" si="0"/>
        <v xml:space="preserve"> </v>
      </c>
      <c r="E122" s="629">
        <f>'Emission Factors'!D852</f>
        <v>80.3</v>
      </c>
      <c r="F122" s="624" t="str">
        <f t="shared" si="1"/>
        <v xml:space="preserve"> </v>
      </c>
      <c r="H122" s="617"/>
      <c r="I122" s="617"/>
      <c r="L122" s="617"/>
      <c r="M122" s="617"/>
      <c r="R122" s="618"/>
      <c r="S122" s="619"/>
      <c r="V122" s="618"/>
    </row>
    <row r="123" spans="1:22" x14ac:dyDescent="0.35">
      <c r="A123" s="620" t="s">
        <v>1882</v>
      </c>
      <c r="B123" s="621"/>
      <c r="C123" s="622"/>
      <c r="D123" s="623" t="str">
        <f t="shared" si="0"/>
        <v xml:space="preserve"> </v>
      </c>
      <c r="E123" s="629">
        <f>'Emission Factors'!D853</f>
        <v>176.5</v>
      </c>
      <c r="F123" s="624" t="str">
        <f t="shared" si="1"/>
        <v xml:space="preserve"> </v>
      </c>
      <c r="H123" s="617"/>
      <c r="I123" s="617"/>
      <c r="L123" s="617"/>
      <c r="M123" s="617"/>
      <c r="R123" s="618"/>
      <c r="S123" s="619"/>
      <c r="V123" s="618"/>
    </row>
    <row r="124" spans="1:22" x14ac:dyDescent="0.35">
      <c r="A124" s="620" t="s">
        <v>1883</v>
      </c>
      <c r="B124" s="621"/>
      <c r="C124" s="622"/>
      <c r="D124" s="623" t="str">
        <f t="shared" si="0"/>
        <v xml:space="preserve"> </v>
      </c>
      <c r="E124" s="629">
        <f>'Emission Factors'!D854</f>
        <v>27</v>
      </c>
      <c r="F124" s="624" t="str">
        <f t="shared" si="1"/>
        <v xml:space="preserve"> </v>
      </c>
      <c r="H124" s="617"/>
      <c r="I124" s="617"/>
      <c r="L124" s="617"/>
      <c r="M124" s="617"/>
      <c r="R124" s="618"/>
      <c r="S124" s="619"/>
      <c r="V124" s="618"/>
    </row>
    <row r="125" spans="1:22" x14ac:dyDescent="0.35">
      <c r="A125" s="620" t="s">
        <v>1884</v>
      </c>
      <c r="B125" s="621"/>
      <c r="C125" s="622"/>
      <c r="D125" s="623" t="str">
        <f t="shared" si="0"/>
        <v xml:space="preserve"> </v>
      </c>
      <c r="E125" s="629">
        <f>'Emission Factors'!D855</f>
        <v>104</v>
      </c>
      <c r="F125" s="624" t="str">
        <f t="shared" si="1"/>
        <v xml:space="preserve"> </v>
      </c>
      <c r="H125" s="617"/>
      <c r="I125" s="617"/>
      <c r="L125" s="617"/>
      <c r="M125" s="617"/>
      <c r="R125" s="618"/>
      <c r="S125" s="619"/>
      <c r="V125" s="618"/>
    </row>
    <row r="126" spans="1:22" x14ac:dyDescent="0.35">
      <c r="A126" s="620" t="s">
        <v>1885</v>
      </c>
      <c r="B126" s="621"/>
      <c r="C126" s="622"/>
      <c r="D126" s="623" t="str">
        <f t="shared" si="0"/>
        <v xml:space="preserve"> </v>
      </c>
      <c r="E126" s="629">
        <f>'Emission Factors'!D856</f>
        <v>21.2</v>
      </c>
      <c r="F126" s="624" t="str">
        <f t="shared" si="1"/>
        <v xml:space="preserve"> </v>
      </c>
      <c r="H126" s="617"/>
      <c r="I126" s="617"/>
      <c r="L126" s="617"/>
      <c r="M126" s="617"/>
      <c r="R126" s="618"/>
      <c r="S126" s="619"/>
      <c r="V126" s="618"/>
    </row>
    <row r="127" spans="1:22" x14ac:dyDescent="0.35">
      <c r="A127" s="620" t="s">
        <v>1886</v>
      </c>
      <c r="B127" s="621"/>
      <c r="C127" s="622"/>
      <c r="D127" s="623" t="str">
        <f t="shared" si="0"/>
        <v xml:space="preserve"> </v>
      </c>
      <c r="E127" s="629">
        <f>'Emission Factors'!D857</f>
        <v>9.4</v>
      </c>
      <c r="F127" s="624" t="str">
        <f t="shared" si="1"/>
        <v xml:space="preserve"> </v>
      </c>
      <c r="H127" s="617"/>
      <c r="I127" s="617"/>
      <c r="L127" s="617"/>
      <c r="M127" s="617"/>
      <c r="R127" s="618"/>
      <c r="S127" s="619"/>
      <c r="V127" s="618"/>
    </row>
    <row r="128" spans="1:22" x14ac:dyDescent="0.35">
      <c r="A128" s="620" t="s">
        <v>1887</v>
      </c>
      <c r="B128" s="621"/>
      <c r="C128" s="622"/>
      <c r="D128" s="623" t="str">
        <f t="shared" si="0"/>
        <v xml:space="preserve"> </v>
      </c>
      <c r="E128" s="629">
        <f>'Emission Factors'!D858</f>
        <v>117.3</v>
      </c>
      <c r="F128" s="624" t="str">
        <f t="shared" si="1"/>
        <v xml:space="preserve"> </v>
      </c>
      <c r="H128" s="617"/>
      <c r="I128" s="617"/>
      <c r="L128" s="617"/>
      <c r="M128" s="617"/>
      <c r="R128" s="618"/>
      <c r="S128" s="619"/>
      <c r="V128" s="618"/>
    </row>
    <row r="129" spans="1:22" x14ac:dyDescent="0.35">
      <c r="A129" s="620" t="s">
        <v>1888</v>
      </c>
      <c r="B129" s="621"/>
      <c r="C129" s="622"/>
      <c r="D129" s="623" t="str">
        <f t="shared" si="0"/>
        <v xml:space="preserve"> </v>
      </c>
      <c r="E129" s="629">
        <f>'Emission Factors'!D859</f>
        <v>23.7</v>
      </c>
      <c r="F129" s="624" t="str">
        <f t="shared" si="1"/>
        <v xml:space="preserve"> </v>
      </c>
      <c r="H129" s="617"/>
      <c r="I129" s="617"/>
      <c r="L129" s="617"/>
      <c r="M129" s="617"/>
      <c r="R129" s="618"/>
      <c r="S129" s="619"/>
      <c r="V129" s="618"/>
    </row>
    <row r="130" spans="1:22" x14ac:dyDescent="0.35">
      <c r="A130" s="620" t="s">
        <v>1889</v>
      </c>
      <c r="B130" s="621"/>
      <c r="C130" s="622"/>
      <c r="D130" s="623" t="str">
        <f t="shared" si="0"/>
        <v xml:space="preserve"> </v>
      </c>
      <c r="E130" s="629">
        <f>'Emission Factors'!D860</f>
        <v>29.9</v>
      </c>
      <c r="F130" s="624" t="str">
        <f t="shared" si="1"/>
        <v xml:space="preserve"> </v>
      </c>
      <c r="H130" s="617"/>
      <c r="I130" s="617"/>
      <c r="L130" s="617"/>
      <c r="M130" s="617"/>
      <c r="R130" s="618"/>
      <c r="S130" s="619"/>
      <c r="V130" s="618"/>
    </row>
    <row r="131" spans="1:22" x14ac:dyDescent="0.35">
      <c r="A131" s="620" t="s">
        <v>1890</v>
      </c>
      <c r="B131" s="621"/>
      <c r="C131" s="622"/>
      <c r="D131" s="623" t="str">
        <f t="shared" si="0"/>
        <v xml:space="preserve"> </v>
      </c>
      <c r="E131" s="629">
        <f>'Emission Factors'!D861</f>
        <v>62.9</v>
      </c>
      <c r="F131" s="624" t="str">
        <f t="shared" si="1"/>
        <v xml:space="preserve"> </v>
      </c>
      <c r="H131" s="617"/>
      <c r="I131" s="617"/>
      <c r="L131" s="617"/>
      <c r="M131" s="617"/>
      <c r="R131" s="618"/>
      <c r="S131" s="619"/>
      <c r="V131" s="618"/>
    </row>
    <row r="132" spans="1:22" x14ac:dyDescent="0.35">
      <c r="A132" s="620" t="s">
        <v>1891</v>
      </c>
      <c r="B132" s="621"/>
      <c r="C132" s="622"/>
      <c r="D132" s="623" t="str">
        <f t="shared" si="0"/>
        <v xml:space="preserve"> </v>
      </c>
      <c r="E132" s="629">
        <f>'Emission Factors'!D862</f>
        <v>35.799999999999997</v>
      </c>
      <c r="F132" s="624" t="str">
        <f t="shared" si="1"/>
        <v xml:space="preserve"> </v>
      </c>
      <c r="H132" s="617"/>
      <c r="I132" s="617"/>
      <c r="L132" s="617"/>
      <c r="M132" s="617"/>
      <c r="R132" s="618"/>
      <c r="S132" s="619"/>
      <c r="V132" s="618"/>
    </row>
    <row r="133" spans="1:22" x14ac:dyDescent="0.35">
      <c r="A133" s="620" t="s">
        <v>1892</v>
      </c>
      <c r="B133" s="621"/>
      <c r="C133" s="622"/>
      <c r="D133" s="623" t="str">
        <f t="shared" si="0"/>
        <v xml:space="preserve"> </v>
      </c>
      <c r="E133" s="629">
        <f>'Emission Factors'!D863</f>
        <v>27.2</v>
      </c>
      <c r="F133" s="624" t="str">
        <f t="shared" si="1"/>
        <v xml:space="preserve"> </v>
      </c>
      <c r="H133" s="617"/>
      <c r="I133" s="617"/>
      <c r="L133" s="617"/>
      <c r="M133" s="617"/>
      <c r="R133" s="618"/>
      <c r="S133" s="619"/>
      <c r="V133" s="618"/>
    </row>
    <row r="134" spans="1:22" x14ac:dyDescent="0.35">
      <c r="A134" s="620" t="s">
        <v>1893</v>
      </c>
      <c r="B134" s="621"/>
      <c r="C134" s="622"/>
      <c r="D134" s="623" t="str">
        <f t="shared" si="0"/>
        <v xml:space="preserve"> </v>
      </c>
      <c r="E134" s="629">
        <f>'Emission Factors'!D864</f>
        <v>104.9</v>
      </c>
      <c r="F134" s="624" t="str">
        <f t="shared" si="1"/>
        <v xml:space="preserve"> </v>
      </c>
      <c r="H134" s="617"/>
      <c r="I134" s="617"/>
      <c r="L134" s="617"/>
      <c r="M134" s="617"/>
      <c r="R134" s="618"/>
      <c r="S134" s="619"/>
      <c r="V134" s="618"/>
    </row>
    <row r="135" spans="1:22" x14ac:dyDescent="0.35">
      <c r="A135" s="620" t="s">
        <v>1894</v>
      </c>
      <c r="B135" s="621"/>
      <c r="C135" s="622"/>
      <c r="D135" s="623" t="str">
        <f t="shared" si="0"/>
        <v xml:space="preserve"> </v>
      </c>
      <c r="E135" s="629">
        <f>'Emission Factors'!D865</f>
        <v>25.5</v>
      </c>
      <c r="F135" s="624" t="str">
        <f t="shared" si="1"/>
        <v xml:space="preserve"> </v>
      </c>
      <c r="H135" s="617"/>
      <c r="I135" s="617"/>
      <c r="L135" s="617"/>
      <c r="M135" s="617"/>
      <c r="R135" s="618"/>
      <c r="S135" s="619"/>
      <c r="V135" s="618"/>
    </row>
    <row r="136" spans="1:22" x14ac:dyDescent="0.35">
      <c r="A136" s="620" t="s">
        <v>1895</v>
      </c>
      <c r="B136" s="621"/>
      <c r="C136" s="622"/>
      <c r="D136" s="623" t="str">
        <f t="shared" si="0"/>
        <v xml:space="preserve"> </v>
      </c>
      <c r="E136" s="629">
        <f>'Emission Factors'!D866</f>
        <v>30.9</v>
      </c>
      <c r="F136" s="624" t="str">
        <f t="shared" si="1"/>
        <v xml:space="preserve"> </v>
      </c>
      <c r="H136" s="617"/>
      <c r="I136" s="617"/>
      <c r="L136" s="617"/>
      <c r="M136" s="617"/>
      <c r="R136" s="618"/>
      <c r="S136" s="619"/>
      <c r="V136" s="618"/>
    </row>
    <row r="137" spans="1:22" x14ac:dyDescent="0.35">
      <c r="A137" s="620" t="s">
        <v>1896</v>
      </c>
      <c r="B137" s="621"/>
      <c r="C137" s="622"/>
      <c r="D137" s="623" t="str">
        <f t="shared" si="0"/>
        <v xml:space="preserve"> </v>
      </c>
      <c r="E137" s="629">
        <f>'Emission Factors'!D867</f>
        <v>112.5</v>
      </c>
      <c r="F137" s="624" t="str">
        <f t="shared" si="1"/>
        <v xml:space="preserve"> </v>
      </c>
      <c r="H137" s="617"/>
      <c r="I137" s="617"/>
      <c r="L137" s="617"/>
      <c r="M137" s="617"/>
      <c r="R137" s="618"/>
      <c r="S137" s="619"/>
      <c r="V137" s="618"/>
    </row>
    <row r="138" spans="1:22" x14ac:dyDescent="0.35">
      <c r="A138" s="620" t="s">
        <v>1897</v>
      </c>
      <c r="B138" s="621"/>
      <c r="C138" s="622"/>
      <c r="D138" s="623" t="str">
        <f t="shared" si="0"/>
        <v xml:space="preserve"> </v>
      </c>
      <c r="E138" s="629">
        <f>'Emission Factors'!D868</f>
        <v>28.5</v>
      </c>
      <c r="F138" s="624" t="str">
        <f t="shared" si="1"/>
        <v xml:space="preserve"> </v>
      </c>
      <c r="H138" s="617"/>
      <c r="I138" s="617"/>
      <c r="L138" s="617"/>
      <c r="M138" s="617"/>
      <c r="R138" s="618"/>
      <c r="S138" s="619"/>
      <c r="V138" s="618"/>
    </row>
    <row r="139" spans="1:22" x14ac:dyDescent="0.35">
      <c r="A139" s="620" t="s">
        <v>1898</v>
      </c>
      <c r="B139" s="621"/>
      <c r="C139" s="622"/>
      <c r="D139" s="623" t="str">
        <f t="shared" si="0"/>
        <v xml:space="preserve"> </v>
      </c>
      <c r="E139" s="629">
        <f>'Emission Factors'!D869</f>
        <v>56.6</v>
      </c>
      <c r="F139" s="624" t="str">
        <f t="shared" si="1"/>
        <v xml:space="preserve"> </v>
      </c>
      <c r="H139" s="617"/>
      <c r="I139" s="617"/>
      <c r="L139" s="617"/>
      <c r="M139" s="617"/>
      <c r="R139" s="618"/>
      <c r="S139" s="619"/>
      <c r="V139" s="618"/>
    </row>
    <row r="140" spans="1:22" x14ac:dyDescent="0.35">
      <c r="A140" s="620" t="s">
        <v>1899</v>
      </c>
      <c r="B140" s="621"/>
      <c r="C140" s="622"/>
      <c r="D140" s="623" t="str">
        <f t="shared" si="0"/>
        <v xml:space="preserve"> </v>
      </c>
      <c r="E140" s="629">
        <f>'Emission Factors'!D870</f>
        <v>56.5</v>
      </c>
      <c r="F140" s="624" t="str">
        <f t="shared" si="1"/>
        <v xml:space="preserve"> </v>
      </c>
      <c r="H140" s="617"/>
      <c r="I140" s="617"/>
      <c r="L140" s="617"/>
      <c r="M140" s="617"/>
      <c r="R140" s="618"/>
      <c r="S140" s="619"/>
      <c r="V140" s="618"/>
    </row>
    <row r="141" spans="1:22" x14ac:dyDescent="0.35">
      <c r="A141" s="620" t="s">
        <v>1900</v>
      </c>
      <c r="B141" s="621"/>
      <c r="C141" s="622"/>
      <c r="D141" s="623" t="str">
        <f t="shared" si="0"/>
        <v xml:space="preserve"> </v>
      </c>
      <c r="E141" s="629">
        <f>'Emission Factors'!D871</f>
        <v>16.3</v>
      </c>
      <c r="F141" s="624" t="str">
        <f t="shared" si="1"/>
        <v xml:space="preserve"> </v>
      </c>
      <c r="H141" s="617"/>
      <c r="I141" s="617"/>
      <c r="L141" s="617"/>
      <c r="M141" s="617"/>
      <c r="R141" s="618"/>
      <c r="S141" s="619"/>
      <c r="V141" s="618"/>
    </row>
    <row r="142" spans="1:22" x14ac:dyDescent="0.35">
      <c r="A142" s="620" t="s">
        <v>1901</v>
      </c>
      <c r="B142" s="621"/>
      <c r="C142" s="622"/>
      <c r="D142" s="623" t="str">
        <f t="shared" si="0"/>
        <v xml:space="preserve"> </v>
      </c>
      <c r="E142" s="629">
        <f>'Emission Factors'!D872</f>
        <v>7.4</v>
      </c>
      <c r="F142" s="624" t="str">
        <f t="shared" si="1"/>
        <v xml:space="preserve"> </v>
      </c>
      <c r="H142" s="617"/>
      <c r="I142" s="617"/>
      <c r="L142" s="617"/>
      <c r="M142" s="617"/>
      <c r="R142" s="618"/>
      <c r="S142" s="619"/>
      <c r="V142" s="618"/>
    </row>
    <row r="143" spans="1:22" x14ac:dyDescent="0.35">
      <c r="A143" s="620" t="s">
        <v>1902</v>
      </c>
      <c r="B143" s="621"/>
      <c r="C143" s="622"/>
      <c r="D143" s="623" t="str">
        <f t="shared" si="0"/>
        <v xml:space="preserve"> </v>
      </c>
      <c r="E143" s="629">
        <f>'Emission Factors'!D873</f>
        <v>55.9</v>
      </c>
      <c r="F143" s="624" t="str">
        <f t="shared" si="1"/>
        <v xml:space="preserve"> </v>
      </c>
      <c r="H143" s="617"/>
      <c r="I143" s="617"/>
      <c r="L143" s="617"/>
      <c r="M143" s="617"/>
      <c r="R143" s="618"/>
      <c r="S143" s="619"/>
      <c r="V143" s="618"/>
    </row>
    <row r="144" spans="1:22" x14ac:dyDescent="0.35">
      <c r="A144" s="620" t="s">
        <v>1903</v>
      </c>
      <c r="B144" s="621"/>
      <c r="C144" s="622"/>
      <c r="D144" s="623" t="str">
        <f t="shared" si="0"/>
        <v xml:space="preserve"> </v>
      </c>
      <c r="E144" s="629">
        <f>'Emission Factors'!D874</f>
        <v>38</v>
      </c>
      <c r="F144" s="624" t="str">
        <f t="shared" si="1"/>
        <v xml:space="preserve"> </v>
      </c>
      <c r="H144" s="617"/>
      <c r="I144" s="617"/>
      <c r="L144" s="617"/>
      <c r="M144" s="617"/>
      <c r="R144" s="618"/>
      <c r="S144" s="619"/>
      <c r="V144" s="618"/>
    </row>
    <row r="145" spans="1:22" x14ac:dyDescent="0.35">
      <c r="A145" s="620" t="s">
        <v>1904</v>
      </c>
      <c r="B145" s="621"/>
      <c r="C145" s="622"/>
      <c r="D145" s="623" t="str">
        <f t="shared" si="0"/>
        <v xml:space="preserve"> </v>
      </c>
      <c r="E145" s="629">
        <f>'Emission Factors'!D875</f>
        <v>95.9</v>
      </c>
      <c r="F145" s="624" t="str">
        <f t="shared" si="1"/>
        <v xml:space="preserve"> </v>
      </c>
      <c r="H145" s="617"/>
      <c r="I145" s="617"/>
      <c r="L145" s="617"/>
      <c r="M145" s="617"/>
      <c r="R145" s="618"/>
      <c r="S145" s="619"/>
      <c r="V145" s="618"/>
    </row>
    <row r="146" spans="1:22" x14ac:dyDescent="0.35">
      <c r="A146" s="620" t="s">
        <v>1905</v>
      </c>
      <c r="B146" s="621"/>
      <c r="C146" s="622"/>
      <c r="D146" s="623" t="str">
        <f t="shared" si="0"/>
        <v xml:space="preserve"> </v>
      </c>
      <c r="E146" s="629">
        <f>'Emission Factors'!D876</f>
        <v>13.4</v>
      </c>
      <c r="F146" s="624" t="str">
        <f t="shared" si="1"/>
        <v xml:space="preserve"> </v>
      </c>
      <c r="H146" s="617"/>
      <c r="I146" s="617"/>
      <c r="L146" s="617"/>
      <c r="M146" s="617"/>
      <c r="R146" s="618"/>
      <c r="S146" s="619"/>
      <c r="V146" s="618"/>
    </row>
    <row r="147" spans="1:22" x14ac:dyDescent="0.35">
      <c r="A147" s="620" t="s">
        <v>1906</v>
      </c>
      <c r="B147" s="621"/>
      <c r="C147" s="622"/>
      <c r="D147" s="623" t="str">
        <f t="shared" si="0"/>
        <v xml:space="preserve"> </v>
      </c>
      <c r="E147" s="629">
        <f>'Emission Factors'!D877</f>
        <v>19.8</v>
      </c>
      <c r="F147" s="624" t="str">
        <f t="shared" si="1"/>
        <v xml:space="preserve"> </v>
      </c>
      <c r="H147" s="617"/>
      <c r="I147" s="617"/>
      <c r="L147" s="617"/>
      <c r="M147" s="617"/>
      <c r="R147" s="618"/>
      <c r="S147" s="619"/>
      <c r="V147" s="618"/>
    </row>
    <row r="148" spans="1:22" ht="16" thickBot="1" x14ac:dyDescent="0.4">
      <c r="A148" s="620" t="s">
        <v>1907</v>
      </c>
      <c r="B148" s="621"/>
      <c r="C148" s="622"/>
      <c r="D148" s="623" t="str">
        <f t="shared" si="0"/>
        <v xml:space="preserve"> </v>
      </c>
      <c r="E148" s="629">
        <f>'Emission Factors'!D878</f>
        <v>49.2</v>
      </c>
      <c r="F148" s="624" t="str">
        <f t="shared" si="1"/>
        <v xml:space="preserve"> </v>
      </c>
      <c r="H148" s="617"/>
      <c r="I148" s="617"/>
      <c r="L148" s="617"/>
      <c r="M148" s="617"/>
      <c r="R148" s="618"/>
      <c r="S148" s="619"/>
      <c r="V148" s="618"/>
    </row>
    <row r="149" spans="1:22" ht="16" thickBot="1" x14ac:dyDescent="0.4">
      <c r="E149" s="625" t="s">
        <v>1699</v>
      </c>
      <c r="F149" s="626">
        <f>SUM(F137:F148)</f>
        <v>0</v>
      </c>
      <c r="H149" s="617"/>
      <c r="I149" s="617"/>
      <c r="L149" s="617"/>
    </row>
    <row r="150" spans="1:22" x14ac:dyDescent="0.35">
      <c r="F150" s="617"/>
      <c r="H150" s="617"/>
      <c r="I150" s="617"/>
      <c r="L150" s="617"/>
    </row>
    <row r="151" spans="1:22" x14ac:dyDescent="0.35">
      <c r="F151" s="617"/>
      <c r="H151" s="617"/>
      <c r="I151" s="617"/>
      <c r="L151" s="617"/>
    </row>
    <row r="152" spans="1:22" x14ac:dyDescent="0.35">
      <c r="F152" s="617"/>
      <c r="H152" s="617"/>
      <c r="I152" s="617"/>
      <c r="L152" s="617"/>
    </row>
    <row r="153" spans="1:22" x14ac:dyDescent="0.35">
      <c r="F153" s="617"/>
      <c r="H153" s="617"/>
      <c r="I153" s="617"/>
      <c r="L153" s="617"/>
    </row>
    <row r="154" spans="1:22" x14ac:dyDescent="0.35">
      <c r="F154" s="617"/>
      <c r="H154" s="617"/>
      <c r="I154" s="617"/>
      <c r="L154" s="617"/>
    </row>
    <row r="155" spans="1:22" x14ac:dyDescent="0.35">
      <c r="F155" s="617"/>
      <c r="H155" s="617"/>
      <c r="I155" s="617"/>
      <c r="L155" s="617"/>
    </row>
    <row r="156" spans="1:22" x14ac:dyDescent="0.35">
      <c r="F156" s="617"/>
      <c r="H156" s="617"/>
      <c r="I156" s="617"/>
      <c r="L156" s="617"/>
    </row>
    <row r="157" spans="1:22" x14ac:dyDescent="0.35">
      <c r="F157" s="617"/>
      <c r="H157" s="617"/>
      <c r="I157" s="617"/>
      <c r="L157" s="617"/>
    </row>
    <row r="158" spans="1:22" x14ac:dyDescent="0.35">
      <c r="F158" s="617"/>
      <c r="H158" s="617"/>
      <c r="I158" s="617"/>
      <c r="L158" s="617"/>
    </row>
    <row r="159" spans="1:22" x14ac:dyDescent="0.35">
      <c r="F159" s="617"/>
      <c r="H159" s="617"/>
      <c r="I159" s="617"/>
      <c r="L159" s="617"/>
    </row>
    <row r="160" spans="1:22" x14ac:dyDescent="0.35">
      <c r="F160" s="617"/>
      <c r="H160" s="617"/>
      <c r="I160" s="617"/>
      <c r="L160" s="617"/>
    </row>
    <row r="161" spans="6:12" x14ac:dyDescent="0.35">
      <c r="F161" s="617"/>
      <c r="H161" s="617"/>
      <c r="I161" s="617"/>
      <c r="L161" s="617"/>
    </row>
    <row r="162" spans="6:12" x14ac:dyDescent="0.35">
      <c r="F162" s="617"/>
      <c r="H162" s="617"/>
      <c r="I162" s="617"/>
      <c r="L162" s="617"/>
    </row>
    <row r="163" spans="6:12" x14ac:dyDescent="0.35">
      <c r="F163" s="617"/>
      <c r="H163" s="617"/>
      <c r="I163" s="617"/>
      <c r="L163" s="617"/>
    </row>
    <row r="164" spans="6:12" x14ac:dyDescent="0.35">
      <c r="F164" s="617"/>
      <c r="H164" s="617"/>
      <c r="I164" s="617"/>
      <c r="L164" s="617"/>
    </row>
    <row r="165" spans="6:12" x14ac:dyDescent="0.35">
      <c r="F165" s="617"/>
      <c r="H165" s="617"/>
      <c r="I165" s="617"/>
      <c r="L165" s="617"/>
    </row>
    <row r="166" spans="6:12" x14ac:dyDescent="0.35">
      <c r="F166" s="617"/>
      <c r="H166" s="617"/>
      <c r="I166" s="617"/>
      <c r="L166" s="617"/>
    </row>
    <row r="167" spans="6:12" x14ac:dyDescent="0.35">
      <c r="F167" s="617"/>
      <c r="H167" s="617"/>
      <c r="I167" s="617"/>
      <c r="L167" s="617"/>
    </row>
    <row r="168" spans="6:12" x14ac:dyDescent="0.35">
      <c r="F168" s="617"/>
      <c r="H168" s="617"/>
      <c r="I168" s="617"/>
      <c r="L168" s="617"/>
    </row>
    <row r="169" spans="6:12" x14ac:dyDescent="0.35">
      <c r="F169" s="617"/>
      <c r="H169" s="617"/>
      <c r="I169" s="617"/>
      <c r="L169" s="617"/>
    </row>
    <row r="170" spans="6:12" x14ac:dyDescent="0.35">
      <c r="F170" s="617"/>
      <c r="H170" s="617"/>
      <c r="I170" s="617"/>
      <c r="L170" s="617"/>
    </row>
    <row r="171" spans="6:12" x14ac:dyDescent="0.35">
      <c r="F171" s="617"/>
      <c r="H171" s="617"/>
      <c r="I171" s="617"/>
      <c r="L171" s="617"/>
    </row>
    <row r="172" spans="6:12" x14ac:dyDescent="0.35">
      <c r="F172" s="617"/>
      <c r="H172" s="617"/>
      <c r="I172" s="617"/>
      <c r="L172" s="617"/>
    </row>
    <row r="173" spans="6:12" x14ac:dyDescent="0.35">
      <c r="F173" s="617"/>
      <c r="H173" s="617"/>
      <c r="I173" s="617"/>
      <c r="L173" s="617"/>
    </row>
    <row r="174" spans="6:12" x14ac:dyDescent="0.35">
      <c r="F174" s="617"/>
      <c r="H174" s="617"/>
      <c r="I174" s="617"/>
      <c r="L174" s="617"/>
    </row>
    <row r="175" spans="6:12" x14ac:dyDescent="0.35">
      <c r="F175" s="617"/>
      <c r="H175" s="617"/>
      <c r="I175" s="617"/>
      <c r="L175" s="617"/>
    </row>
    <row r="176" spans="6:12" x14ac:dyDescent="0.35">
      <c r="F176" s="617"/>
      <c r="H176" s="617"/>
      <c r="I176" s="617"/>
      <c r="L176" s="617"/>
    </row>
    <row r="177" spans="6:12" x14ac:dyDescent="0.35">
      <c r="F177" s="617"/>
      <c r="H177" s="617"/>
      <c r="I177" s="617"/>
      <c r="L177" s="617"/>
    </row>
    <row r="178" spans="6:12" x14ac:dyDescent="0.35">
      <c r="F178" s="617"/>
      <c r="H178" s="617"/>
      <c r="I178" s="617"/>
      <c r="L178" s="617"/>
    </row>
    <row r="179" spans="6:12" x14ac:dyDescent="0.35">
      <c r="F179" s="617"/>
      <c r="H179" s="617"/>
      <c r="I179" s="617"/>
      <c r="L179" s="617"/>
    </row>
    <row r="180" spans="6:12" x14ac:dyDescent="0.35">
      <c r="F180" s="617"/>
      <c r="H180" s="617"/>
      <c r="I180" s="617"/>
      <c r="L180" s="617"/>
    </row>
    <row r="181" spans="6:12" x14ac:dyDescent="0.35">
      <c r="F181" s="617"/>
      <c r="H181" s="617"/>
      <c r="I181" s="617"/>
      <c r="L181" s="617"/>
    </row>
    <row r="182" spans="6:12" x14ac:dyDescent="0.35">
      <c r="F182" s="617"/>
      <c r="H182" s="617"/>
      <c r="I182" s="617"/>
      <c r="L182" s="617"/>
    </row>
    <row r="183" spans="6:12" x14ac:dyDescent="0.35">
      <c r="F183" s="617"/>
      <c r="H183" s="617"/>
      <c r="I183" s="617"/>
      <c r="L183" s="617"/>
    </row>
    <row r="184" spans="6:12" x14ac:dyDescent="0.35">
      <c r="F184" s="617"/>
      <c r="H184" s="617"/>
      <c r="I184" s="617"/>
      <c r="L184" s="617"/>
    </row>
    <row r="185" spans="6:12" x14ac:dyDescent="0.35">
      <c r="F185" s="617"/>
      <c r="H185" s="617"/>
      <c r="I185" s="617"/>
      <c r="L185" s="617"/>
    </row>
    <row r="186" spans="6:12" x14ac:dyDescent="0.35">
      <c r="F186" s="617"/>
      <c r="H186" s="617"/>
      <c r="I186" s="617"/>
      <c r="L186" s="617"/>
    </row>
    <row r="187" spans="6:12" x14ac:dyDescent="0.35">
      <c r="F187" s="617"/>
      <c r="H187" s="617"/>
      <c r="I187" s="617"/>
      <c r="L187" s="617"/>
    </row>
    <row r="188" spans="6:12" x14ac:dyDescent="0.35">
      <c r="F188" s="617"/>
      <c r="H188" s="617"/>
      <c r="I188" s="617"/>
      <c r="L188" s="617"/>
    </row>
    <row r="189" spans="6:12" x14ac:dyDescent="0.35">
      <c r="F189" s="617"/>
      <c r="H189" s="617"/>
      <c r="I189" s="617"/>
      <c r="L189" s="617"/>
    </row>
    <row r="190" spans="6:12" x14ac:dyDescent="0.35">
      <c r="F190" s="617"/>
      <c r="H190" s="617"/>
      <c r="I190" s="617"/>
      <c r="L190" s="617"/>
    </row>
    <row r="191" spans="6:12" x14ac:dyDescent="0.35">
      <c r="F191" s="617"/>
      <c r="H191" s="617"/>
      <c r="I191" s="617"/>
      <c r="L191" s="617"/>
    </row>
    <row r="192" spans="6:12" x14ac:dyDescent="0.35">
      <c r="F192" s="617"/>
      <c r="H192" s="617"/>
      <c r="I192" s="617"/>
      <c r="L192" s="617"/>
    </row>
    <row r="193" spans="6:12" x14ac:dyDescent="0.35">
      <c r="F193" s="617"/>
      <c r="H193" s="617"/>
      <c r="I193" s="617"/>
      <c r="L193" s="617"/>
    </row>
    <row r="194" spans="6:12" x14ac:dyDescent="0.35">
      <c r="F194" s="617"/>
      <c r="H194" s="617"/>
      <c r="I194" s="617"/>
      <c r="L194" s="617"/>
    </row>
    <row r="195" spans="6:12" x14ac:dyDescent="0.35">
      <c r="F195" s="617"/>
      <c r="H195" s="617"/>
      <c r="I195" s="617"/>
      <c r="L195" s="617"/>
    </row>
    <row r="196" spans="6:12" x14ac:dyDescent="0.35">
      <c r="F196" s="617"/>
      <c r="H196" s="617"/>
      <c r="I196" s="617"/>
      <c r="L196" s="617"/>
    </row>
    <row r="197" spans="6:12" x14ac:dyDescent="0.35">
      <c r="F197" s="617"/>
      <c r="H197" s="617"/>
      <c r="I197" s="617"/>
      <c r="L197" s="617"/>
    </row>
    <row r="198" spans="6:12" x14ac:dyDescent="0.35">
      <c r="F198" s="617"/>
      <c r="H198" s="617"/>
      <c r="I198" s="617"/>
      <c r="L198" s="617"/>
    </row>
    <row r="199" spans="6:12" x14ac:dyDescent="0.35">
      <c r="F199" s="617"/>
      <c r="H199" s="617"/>
      <c r="I199" s="617"/>
      <c r="L199" s="617"/>
    </row>
    <row r="200" spans="6:12" x14ac:dyDescent="0.35">
      <c r="F200" s="617"/>
      <c r="H200" s="617"/>
      <c r="I200" s="617"/>
      <c r="L200" s="617"/>
    </row>
    <row r="201" spans="6:12" x14ac:dyDescent="0.35">
      <c r="F201" s="617"/>
      <c r="H201" s="617"/>
      <c r="I201" s="617"/>
      <c r="L201" s="617"/>
    </row>
    <row r="202" spans="6:12" x14ac:dyDescent="0.35">
      <c r="F202" s="617"/>
      <c r="H202" s="617"/>
      <c r="I202" s="617"/>
      <c r="L202" s="617"/>
    </row>
    <row r="203" spans="6:12" x14ac:dyDescent="0.35">
      <c r="F203" s="617"/>
      <c r="H203" s="617"/>
      <c r="I203" s="617"/>
      <c r="L203" s="617"/>
    </row>
    <row r="204" spans="6:12" x14ac:dyDescent="0.35">
      <c r="F204" s="617"/>
      <c r="H204" s="617"/>
      <c r="I204" s="617"/>
      <c r="L204" s="617"/>
    </row>
    <row r="205" spans="6:12" x14ac:dyDescent="0.35">
      <c r="F205" s="617"/>
      <c r="H205" s="617"/>
      <c r="I205" s="617"/>
      <c r="L205" s="617"/>
    </row>
    <row r="206" spans="6:12" x14ac:dyDescent="0.35">
      <c r="F206" s="617"/>
      <c r="H206" s="617"/>
      <c r="I206" s="617"/>
      <c r="L206" s="617"/>
    </row>
    <row r="207" spans="6:12" x14ac:dyDescent="0.35">
      <c r="F207" s="617"/>
      <c r="H207" s="617"/>
      <c r="I207" s="617"/>
      <c r="L207" s="617"/>
    </row>
    <row r="208" spans="6:12" x14ac:dyDescent="0.35">
      <c r="F208" s="617"/>
      <c r="H208" s="617"/>
      <c r="I208" s="617"/>
      <c r="L208" s="617"/>
    </row>
    <row r="209" spans="6:12" x14ac:dyDescent="0.35">
      <c r="F209" s="617"/>
      <c r="H209" s="617"/>
      <c r="I209" s="617"/>
      <c r="L209" s="617"/>
    </row>
    <row r="210" spans="6:12" x14ac:dyDescent="0.35">
      <c r="F210" s="617"/>
      <c r="H210" s="617"/>
      <c r="I210" s="617"/>
      <c r="L210" s="617"/>
    </row>
    <row r="211" spans="6:12" x14ac:dyDescent="0.35">
      <c r="F211" s="617"/>
      <c r="H211" s="617"/>
      <c r="I211" s="617"/>
      <c r="L211" s="617"/>
    </row>
    <row r="212" spans="6:12" x14ac:dyDescent="0.35">
      <c r="F212" s="617"/>
      <c r="H212" s="617"/>
      <c r="I212" s="617"/>
      <c r="L212" s="617"/>
    </row>
    <row r="213" spans="6:12" x14ac:dyDescent="0.35">
      <c r="F213" s="617"/>
      <c r="H213" s="617"/>
      <c r="I213" s="617"/>
      <c r="L213" s="617"/>
    </row>
    <row r="214" spans="6:12" x14ac:dyDescent="0.35">
      <c r="F214" s="617"/>
      <c r="H214" s="617"/>
      <c r="I214" s="617"/>
      <c r="L214" s="617"/>
    </row>
    <row r="215" spans="6:12" x14ac:dyDescent="0.35">
      <c r="F215" s="617"/>
      <c r="H215" s="617"/>
      <c r="I215" s="617"/>
      <c r="L215" s="617"/>
    </row>
    <row r="216" spans="6:12" x14ac:dyDescent="0.35">
      <c r="F216" s="617"/>
      <c r="H216" s="617"/>
      <c r="I216" s="617"/>
      <c r="L216" s="617"/>
    </row>
    <row r="217" spans="6:12" x14ac:dyDescent="0.35">
      <c r="F217" s="617"/>
      <c r="H217" s="617"/>
      <c r="I217" s="617"/>
      <c r="L217" s="617"/>
    </row>
    <row r="218" spans="6:12" x14ac:dyDescent="0.35">
      <c r="F218" s="617"/>
      <c r="H218" s="617"/>
      <c r="I218" s="617"/>
      <c r="L218" s="617"/>
    </row>
    <row r="219" spans="6:12" x14ac:dyDescent="0.35">
      <c r="F219" s="617"/>
      <c r="H219" s="617"/>
      <c r="I219" s="617"/>
      <c r="L219" s="617"/>
    </row>
    <row r="220" spans="6:12" x14ac:dyDescent="0.35">
      <c r="F220" s="617"/>
      <c r="H220" s="617"/>
      <c r="I220" s="617"/>
      <c r="L220" s="617"/>
    </row>
    <row r="221" spans="6:12" x14ac:dyDescent="0.35">
      <c r="F221" s="617"/>
      <c r="H221" s="617"/>
      <c r="I221" s="617"/>
      <c r="L221" s="617"/>
    </row>
    <row r="222" spans="6:12" x14ac:dyDescent="0.35">
      <c r="F222" s="617"/>
      <c r="H222" s="617"/>
      <c r="I222" s="617"/>
      <c r="L222" s="617"/>
    </row>
    <row r="223" spans="6:12" x14ac:dyDescent="0.35">
      <c r="F223" s="617"/>
      <c r="H223" s="617"/>
      <c r="I223" s="617"/>
      <c r="L223" s="617"/>
    </row>
    <row r="224" spans="6:12" x14ac:dyDescent="0.35">
      <c r="F224" s="617"/>
      <c r="H224" s="617"/>
      <c r="I224" s="617"/>
      <c r="L224" s="617"/>
    </row>
    <row r="225" spans="6:12" x14ac:dyDescent="0.35">
      <c r="F225" s="617"/>
      <c r="H225" s="617"/>
      <c r="I225" s="617"/>
      <c r="L225" s="617"/>
    </row>
    <row r="226" spans="6:12" x14ac:dyDescent="0.35">
      <c r="F226" s="617"/>
      <c r="H226" s="617"/>
      <c r="I226" s="617"/>
      <c r="L226" s="617"/>
    </row>
    <row r="227" spans="6:12" x14ac:dyDescent="0.35">
      <c r="F227" s="617"/>
      <c r="H227" s="617"/>
      <c r="I227" s="617"/>
      <c r="L227" s="617"/>
    </row>
    <row r="228" spans="6:12" x14ac:dyDescent="0.35">
      <c r="F228" s="617"/>
      <c r="H228" s="617"/>
      <c r="I228" s="617"/>
      <c r="L228" s="617"/>
    </row>
    <row r="229" spans="6:12" x14ac:dyDescent="0.35">
      <c r="F229" s="617"/>
      <c r="H229" s="617"/>
      <c r="I229" s="617"/>
      <c r="L229" s="617"/>
    </row>
    <row r="230" spans="6:12" x14ac:dyDescent="0.35">
      <c r="F230" s="617"/>
      <c r="H230" s="617"/>
      <c r="I230" s="617"/>
      <c r="L230" s="617"/>
    </row>
    <row r="231" spans="6:12" x14ac:dyDescent="0.35">
      <c r="F231" s="617"/>
      <c r="H231" s="617"/>
      <c r="I231" s="617"/>
      <c r="L231" s="617"/>
    </row>
    <row r="232" spans="6:12" x14ac:dyDescent="0.35">
      <c r="F232" s="617"/>
      <c r="H232" s="617"/>
      <c r="I232" s="617"/>
      <c r="L232" s="617"/>
    </row>
    <row r="233" spans="6:12" x14ac:dyDescent="0.35">
      <c r="F233" s="617"/>
      <c r="H233" s="617"/>
      <c r="I233" s="617"/>
      <c r="L233" s="617"/>
    </row>
    <row r="234" spans="6:12" x14ac:dyDescent="0.35">
      <c r="F234" s="617"/>
      <c r="H234" s="617"/>
      <c r="I234" s="617"/>
      <c r="L234" s="617"/>
    </row>
    <row r="235" spans="6:12" x14ac:dyDescent="0.35">
      <c r="F235" s="617"/>
      <c r="H235" s="617"/>
      <c r="I235" s="617"/>
      <c r="L235" s="617"/>
    </row>
    <row r="236" spans="6:12" x14ac:dyDescent="0.35">
      <c r="F236" s="617"/>
      <c r="H236" s="617"/>
      <c r="I236" s="617"/>
      <c r="L236" s="617"/>
    </row>
    <row r="237" spans="6:12" x14ac:dyDescent="0.35">
      <c r="F237" s="617"/>
      <c r="H237" s="617"/>
      <c r="I237" s="617"/>
      <c r="L237" s="617"/>
    </row>
    <row r="238" spans="6:12" x14ac:dyDescent="0.35">
      <c r="F238" s="617"/>
      <c r="H238" s="617"/>
      <c r="I238" s="617"/>
      <c r="L238" s="617"/>
    </row>
    <row r="239" spans="6:12" x14ac:dyDescent="0.35">
      <c r="F239" s="617"/>
      <c r="H239" s="617"/>
      <c r="I239" s="617"/>
      <c r="L239" s="617"/>
    </row>
    <row r="240" spans="6:12" x14ac:dyDescent="0.35">
      <c r="F240" s="617"/>
      <c r="H240" s="617"/>
      <c r="I240" s="617"/>
      <c r="L240" s="617"/>
    </row>
    <row r="241" spans="6:12" x14ac:dyDescent="0.35">
      <c r="F241" s="617"/>
      <c r="H241" s="617"/>
      <c r="I241" s="617"/>
      <c r="L241" s="617"/>
    </row>
    <row r="242" spans="6:12" x14ac:dyDescent="0.35">
      <c r="F242" s="617"/>
      <c r="H242" s="617"/>
      <c r="I242" s="617"/>
      <c r="L242" s="617"/>
    </row>
    <row r="243" spans="6:12" x14ac:dyDescent="0.35">
      <c r="F243" s="617"/>
      <c r="H243" s="617"/>
      <c r="I243" s="617"/>
      <c r="L243" s="617"/>
    </row>
    <row r="244" spans="6:12" x14ac:dyDescent="0.35">
      <c r="F244" s="617"/>
      <c r="H244" s="617"/>
      <c r="I244" s="617"/>
      <c r="L244" s="617"/>
    </row>
    <row r="245" spans="6:12" x14ac:dyDescent="0.35">
      <c r="F245" s="617"/>
      <c r="H245" s="617"/>
      <c r="I245" s="617"/>
      <c r="L245" s="617"/>
    </row>
    <row r="246" spans="6:12" x14ac:dyDescent="0.35">
      <c r="F246" s="617"/>
      <c r="H246" s="617"/>
      <c r="I246" s="617"/>
      <c r="L246" s="617"/>
    </row>
    <row r="247" spans="6:12" x14ac:dyDescent="0.35">
      <c r="F247" s="617"/>
      <c r="H247" s="617"/>
      <c r="I247" s="617"/>
      <c r="L247" s="617"/>
    </row>
    <row r="248" spans="6:12" x14ac:dyDescent="0.35">
      <c r="F248" s="617"/>
      <c r="H248" s="617"/>
      <c r="I248" s="617"/>
      <c r="L248" s="617"/>
    </row>
    <row r="249" spans="6:12" x14ac:dyDescent="0.35">
      <c r="F249" s="617"/>
      <c r="H249" s="617"/>
      <c r="I249" s="617"/>
      <c r="L249" s="617"/>
    </row>
    <row r="250" spans="6:12" x14ac:dyDescent="0.35">
      <c r="F250" s="617"/>
      <c r="H250" s="617"/>
      <c r="I250" s="617"/>
      <c r="L250" s="617"/>
    </row>
    <row r="251" spans="6:12" x14ac:dyDescent="0.35">
      <c r="F251" s="617"/>
      <c r="H251" s="617"/>
      <c r="I251" s="617"/>
      <c r="L251" s="617"/>
    </row>
    <row r="252" spans="6:12" x14ac:dyDescent="0.35">
      <c r="F252" s="617"/>
      <c r="H252" s="617"/>
      <c r="I252" s="617"/>
      <c r="L252" s="617"/>
    </row>
    <row r="253" spans="6:12" x14ac:dyDescent="0.35">
      <c r="F253" s="617"/>
      <c r="H253" s="617"/>
      <c r="I253" s="617"/>
      <c r="L253" s="617"/>
    </row>
    <row r="254" spans="6:12" x14ac:dyDescent="0.35">
      <c r="F254" s="617"/>
      <c r="H254" s="617"/>
      <c r="I254" s="617"/>
      <c r="L254" s="617"/>
    </row>
    <row r="255" spans="6:12" x14ac:dyDescent="0.35">
      <c r="F255" s="617"/>
      <c r="H255" s="617"/>
      <c r="I255" s="617"/>
      <c r="L255" s="617"/>
    </row>
    <row r="256" spans="6:12" x14ac:dyDescent="0.35">
      <c r="F256" s="617"/>
      <c r="H256" s="617"/>
      <c r="I256" s="617"/>
      <c r="L256" s="617"/>
    </row>
    <row r="257" spans="6:12" x14ac:dyDescent="0.35">
      <c r="F257" s="617"/>
      <c r="H257" s="617"/>
      <c r="I257" s="617"/>
      <c r="L257" s="617"/>
    </row>
    <row r="258" spans="6:12" x14ac:dyDescent="0.35">
      <c r="F258" s="617"/>
      <c r="H258" s="617"/>
      <c r="I258" s="617"/>
      <c r="L258" s="617"/>
    </row>
    <row r="259" spans="6:12" x14ac:dyDescent="0.35">
      <c r="F259" s="617"/>
      <c r="H259" s="617"/>
      <c r="I259" s="617"/>
      <c r="L259" s="617"/>
    </row>
    <row r="260" spans="6:12" x14ac:dyDescent="0.35">
      <c r="F260" s="617"/>
      <c r="H260" s="617"/>
      <c r="I260" s="617"/>
      <c r="L260" s="617"/>
    </row>
    <row r="261" spans="6:12" x14ac:dyDescent="0.35">
      <c r="F261" s="617"/>
      <c r="H261" s="617"/>
      <c r="I261" s="617"/>
      <c r="L261" s="617"/>
    </row>
    <row r="262" spans="6:12" x14ac:dyDescent="0.35">
      <c r="F262" s="617"/>
      <c r="H262" s="617"/>
      <c r="I262" s="617"/>
      <c r="L262" s="617"/>
    </row>
    <row r="263" spans="6:12" x14ac:dyDescent="0.35">
      <c r="F263" s="617"/>
      <c r="H263" s="617"/>
      <c r="I263" s="617"/>
      <c r="L263" s="617"/>
    </row>
    <row r="264" spans="6:12" x14ac:dyDescent="0.35">
      <c r="F264" s="617"/>
      <c r="H264" s="617"/>
      <c r="I264" s="617"/>
      <c r="L264" s="617"/>
    </row>
    <row r="265" spans="6:12" x14ac:dyDescent="0.35">
      <c r="F265" s="617"/>
      <c r="H265" s="617"/>
      <c r="I265" s="617"/>
      <c r="L265" s="617"/>
    </row>
    <row r="266" spans="6:12" x14ac:dyDescent="0.35">
      <c r="F266" s="617"/>
      <c r="H266" s="617"/>
      <c r="I266" s="617"/>
      <c r="L266" s="617"/>
    </row>
    <row r="267" spans="6:12" x14ac:dyDescent="0.35">
      <c r="F267" s="617"/>
      <c r="H267" s="617"/>
      <c r="I267" s="617"/>
      <c r="L267" s="617"/>
    </row>
    <row r="268" spans="6:12" x14ac:dyDescent="0.35">
      <c r="F268" s="617"/>
      <c r="H268" s="617"/>
      <c r="I268" s="617"/>
      <c r="L268" s="617"/>
    </row>
    <row r="269" spans="6:12" x14ac:dyDescent="0.35">
      <c r="F269" s="617"/>
      <c r="H269" s="617"/>
      <c r="I269" s="617"/>
      <c r="L269" s="617"/>
    </row>
    <row r="270" spans="6:12" x14ac:dyDescent="0.35">
      <c r="F270" s="617"/>
      <c r="H270" s="617"/>
      <c r="I270" s="617"/>
      <c r="L270" s="617"/>
    </row>
    <row r="271" spans="6:12" x14ac:dyDescent="0.35">
      <c r="F271" s="617"/>
      <c r="H271" s="617"/>
      <c r="I271" s="617"/>
      <c r="L271" s="617"/>
    </row>
    <row r="272" spans="6:12" x14ac:dyDescent="0.35">
      <c r="F272" s="617"/>
      <c r="H272" s="617"/>
      <c r="I272" s="617"/>
      <c r="L272" s="617"/>
    </row>
    <row r="273" spans="6:12" x14ac:dyDescent="0.35">
      <c r="F273" s="617"/>
      <c r="H273" s="617"/>
      <c r="I273" s="617"/>
      <c r="L273" s="617"/>
    </row>
    <row r="274" spans="6:12" x14ac:dyDescent="0.35">
      <c r="F274" s="617"/>
      <c r="H274" s="617"/>
      <c r="I274" s="617"/>
      <c r="L274" s="617"/>
    </row>
    <row r="275" spans="6:12" x14ac:dyDescent="0.35">
      <c r="F275" s="617"/>
      <c r="H275" s="617"/>
      <c r="I275" s="617"/>
      <c r="L275" s="617"/>
    </row>
    <row r="276" spans="6:12" x14ac:dyDescent="0.35">
      <c r="F276" s="617"/>
      <c r="H276" s="617"/>
      <c r="I276" s="617"/>
      <c r="L276" s="617"/>
    </row>
    <row r="277" spans="6:12" x14ac:dyDescent="0.35">
      <c r="F277" s="617"/>
      <c r="H277" s="617"/>
      <c r="I277" s="617"/>
      <c r="L277" s="617"/>
    </row>
    <row r="278" spans="6:12" x14ac:dyDescent="0.35">
      <c r="F278" s="617"/>
      <c r="H278" s="617"/>
      <c r="I278" s="617"/>
      <c r="L278" s="617"/>
    </row>
    <row r="279" spans="6:12" x14ac:dyDescent="0.35">
      <c r="F279" s="617"/>
      <c r="H279" s="617"/>
      <c r="I279" s="617"/>
      <c r="L279" s="617"/>
    </row>
    <row r="280" spans="6:12" x14ac:dyDescent="0.35">
      <c r="F280" s="617"/>
      <c r="H280" s="617"/>
      <c r="I280" s="617"/>
      <c r="L280" s="617"/>
    </row>
    <row r="281" spans="6:12" x14ac:dyDescent="0.35">
      <c r="F281" s="617"/>
      <c r="H281" s="617"/>
      <c r="I281" s="617"/>
      <c r="L281" s="617"/>
    </row>
    <row r="282" spans="6:12" x14ac:dyDescent="0.35">
      <c r="F282" s="617"/>
      <c r="H282" s="617"/>
      <c r="I282" s="617"/>
      <c r="L282" s="617"/>
    </row>
    <row r="283" spans="6:12" x14ac:dyDescent="0.35">
      <c r="F283" s="617"/>
      <c r="H283" s="617"/>
      <c r="I283" s="617"/>
      <c r="L283" s="617"/>
    </row>
    <row r="284" spans="6:12" x14ac:dyDescent="0.35">
      <c r="F284" s="617"/>
      <c r="H284" s="617"/>
      <c r="I284" s="617"/>
      <c r="L284" s="617"/>
    </row>
    <row r="285" spans="6:12" x14ac:dyDescent="0.35">
      <c r="F285" s="617"/>
      <c r="H285" s="617"/>
      <c r="I285" s="617"/>
      <c r="L285" s="617"/>
    </row>
    <row r="286" spans="6:12" x14ac:dyDescent="0.35">
      <c r="F286" s="617"/>
      <c r="H286" s="617"/>
      <c r="I286" s="617"/>
      <c r="L286" s="617"/>
    </row>
    <row r="287" spans="6:12" x14ac:dyDescent="0.35">
      <c r="F287" s="617"/>
      <c r="H287" s="617"/>
      <c r="I287" s="617"/>
      <c r="L287" s="617"/>
    </row>
    <row r="288" spans="6:12" x14ac:dyDescent="0.35">
      <c r="F288" s="617"/>
      <c r="H288" s="617"/>
      <c r="I288" s="617"/>
      <c r="L288" s="617"/>
    </row>
    <row r="289" spans="6:12" x14ac:dyDescent="0.35">
      <c r="F289" s="617"/>
      <c r="H289" s="617"/>
      <c r="I289" s="617"/>
      <c r="L289" s="617"/>
    </row>
    <row r="290" spans="6:12" x14ac:dyDescent="0.35">
      <c r="F290" s="617"/>
      <c r="H290" s="617"/>
      <c r="I290" s="617"/>
      <c r="L290" s="617"/>
    </row>
    <row r="291" spans="6:12" x14ac:dyDescent="0.35">
      <c r="F291" s="617"/>
      <c r="H291" s="617"/>
      <c r="I291" s="617"/>
      <c r="L291" s="617"/>
    </row>
    <row r="292" spans="6:12" x14ac:dyDescent="0.35">
      <c r="F292" s="617"/>
      <c r="H292" s="617"/>
      <c r="I292" s="617"/>
      <c r="L292" s="617"/>
    </row>
    <row r="293" spans="6:12" x14ac:dyDescent="0.35">
      <c r="F293" s="617"/>
      <c r="H293" s="617"/>
      <c r="I293" s="617"/>
      <c r="L293" s="617"/>
    </row>
    <row r="294" spans="6:12" x14ac:dyDescent="0.35">
      <c r="F294" s="617"/>
      <c r="H294" s="617"/>
      <c r="I294" s="617"/>
      <c r="L294" s="617"/>
    </row>
    <row r="295" spans="6:12" x14ac:dyDescent="0.35">
      <c r="F295" s="617"/>
      <c r="H295" s="617"/>
      <c r="I295" s="617"/>
      <c r="L295" s="617"/>
    </row>
    <row r="296" spans="6:12" x14ac:dyDescent="0.35">
      <c r="F296" s="617"/>
      <c r="H296" s="617"/>
      <c r="I296" s="617"/>
      <c r="L296" s="617"/>
    </row>
    <row r="297" spans="6:12" x14ac:dyDescent="0.35">
      <c r="F297" s="617"/>
      <c r="H297" s="617"/>
      <c r="I297" s="617"/>
      <c r="L297" s="617"/>
    </row>
    <row r="298" spans="6:12" x14ac:dyDescent="0.35">
      <c r="F298" s="617"/>
      <c r="H298" s="617"/>
      <c r="I298" s="617"/>
      <c r="L298" s="617"/>
    </row>
    <row r="299" spans="6:12" x14ac:dyDescent="0.35">
      <c r="F299" s="617"/>
      <c r="H299" s="617"/>
      <c r="I299" s="617"/>
      <c r="L299" s="617"/>
    </row>
    <row r="300" spans="6:12" x14ac:dyDescent="0.35">
      <c r="F300" s="617"/>
      <c r="H300" s="617"/>
      <c r="I300" s="617"/>
      <c r="L300" s="617"/>
    </row>
    <row r="301" spans="6:12" x14ac:dyDescent="0.35">
      <c r="F301" s="617"/>
      <c r="H301" s="617"/>
      <c r="I301" s="617"/>
      <c r="L301" s="617"/>
    </row>
    <row r="302" spans="6:12" x14ac:dyDescent="0.35">
      <c r="F302" s="617"/>
      <c r="H302" s="617"/>
      <c r="I302" s="617"/>
      <c r="L302" s="617"/>
    </row>
    <row r="303" spans="6:12" x14ac:dyDescent="0.35">
      <c r="F303" s="617"/>
      <c r="H303" s="617"/>
      <c r="I303" s="617"/>
      <c r="L303" s="617"/>
    </row>
    <row r="304" spans="6:12" x14ac:dyDescent="0.35">
      <c r="F304" s="617"/>
      <c r="H304" s="617"/>
      <c r="I304" s="617"/>
      <c r="L304" s="617"/>
    </row>
    <row r="305" spans="6:12" x14ac:dyDescent="0.35">
      <c r="F305" s="617"/>
      <c r="H305" s="617"/>
      <c r="I305" s="617"/>
      <c r="L305" s="617"/>
    </row>
    <row r="306" spans="6:12" x14ac:dyDescent="0.35">
      <c r="F306" s="617"/>
      <c r="H306" s="617"/>
      <c r="I306" s="617"/>
      <c r="L306" s="617"/>
    </row>
    <row r="307" spans="6:12" x14ac:dyDescent="0.35">
      <c r="F307" s="617"/>
      <c r="H307" s="617"/>
      <c r="I307" s="617"/>
      <c r="L307" s="617"/>
    </row>
    <row r="308" spans="6:12" x14ac:dyDescent="0.35">
      <c r="F308" s="617"/>
      <c r="H308" s="617"/>
      <c r="I308" s="617"/>
      <c r="L308" s="617"/>
    </row>
    <row r="309" spans="6:12" x14ac:dyDescent="0.35">
      <c r="F309" s="617"/>
      <c r="H309" s="617"/>
      <c r="I309" s="617"/>
      <c r="L309" s="617"/>
    </row>
    <row r="310" spans="6:12" x14ac:dyDescent="0.35">
      <c r="F310" s="617"/>
      <c r="H310" s="617"/>
      <c r="I310" s="617"/>
      <c r="L310" s="617"/>
    </row>
    <row r="311" spans="6:12" x14ac:dyDescent="0.35">
      <c r="F311" s="617"/>
      <c r="H311" s="617"/>
      <c r="I311" s="617"/>
      <c r="L311" s="617"/>
    </row>
    <row r="312" spans="6:12" x14ac:dyDescent="0.35">
      <c r="F312" s="617"/>
      <c r="H312" s="617"/>
      <c r="I312" s="617"/>
      <c r="L312" s="617"/>
    </row>
    <row r="313" spans="6:12" x14ac:dyDescent="0.35">
      <c r="F313" s="617"/>
      <c r="H313" s="617"/>
      <c r="I313" s="617"/>
      <c r="L313" s="617"/>
    </row>
    <row r="314" spans="6:12" x14ac:dyDescent="0.35">
      <c r="F314" s="617"/>
      <c r="H314" s="617"/>
      <c r="I314" s="617"/>
      <c r="L314" s="617"/>
    </row>
    <row r="315" spans="6:12" x14ac:dyDescent="0.35">
      <c r="F315" s="617"/>
      <c r="H315" s="617"/>
      <c r="I315" s="617"/>
      <c r="L315" s="617"/>
    </row>
    <row r="316" spans="6:12" x14ac:dyDescent="0.35">
      <c r="F316" s="617"/>
      <c r="H316" s="617"/>
      <c r="I316" s="617"/>
      <c r="L316" s="617"/>
    </row>
    <row r="317" spans="6:12" x14ac:dyDescent="0.35">
      <c r="F317" s="617"/>
      <c r="H317" s="617"/>
      <c r="I317" s="617"/>
      <c r="L317" s="617"/>
    </row>
    <row r="318" spans="6:12" x14ac:dyDescent="0.35">
      <c r="F318" s="617"/>
      <c r="H318" s="617"/>
      <c r="I318" s="617"/>
      <c r="L318" s="617"/>
    </row>
    <row r="319" spans="6:12" x14ac:dyDescent="0.35">
      <c r="F319" s="617"/>
      <c r="H319" s="617"/>
      <c r="I319" s="617"/>
      <c r="L319" s="617"/>
    </row>
    <row r="320" spans="6:12" x14ac:dyDescent="0.35">
      <c r="F320" s="617"/>
      <c r="H320" s="617"/>
      <c r="I320" s="617"/>
      <c r="L320" s="617"/>
    </row>
    <row r="321" spans="6:12" x14ac:dyDescent="0.35">
      <c r="F321" s="617"/>
      <c r="H321" s="617"/>
      <c r="I321" s="617"/>
      <c r="L321" s="617"/>
    </row>
    <row r="322" spans="6:12" x14ac:dyDescent="0.35">
      <c r="F322" s="617"/>
      <c r="H322" s="617"/>
      <c r="I322" s="617"/>
      <c r="L322" s="617"/>
    </row>
    <row r="323" spans="6:12" x14ac:dyDescent="0.35">
      <c r="F323" s="617"/>
      <c r="H323" s="617"/>
      <c r="I323" s="617"/>
      <c r="L323" s="617"/>
    </row>
    <row r="324" spans="6:12" x14ac:dyDescent="0.35">
      <c r="F324" s="617"/>
      <c r="H324" s="617"/>
      <c r="I324" s="617"/>
      <c r="L324" s="617"/>
    </row>
    <row r="325" spans="6:12" x14ac:dyDescent="0.35">
      <c r="F325" s="617"/>
      <c r="H325" s="617"/>
      <c r="I325" s="617"/>
      <c r="L325" s="617"/>
    </row>
    <row r="326" spans="6:12" x14ac:dyDescent="0.35">
      <c r="F326" s="617"/>
      <c r="H326" s="617"/>
      <c r="I326" s="617"/>
      <c r="L326" s="617"/>
    </row>
    <row r="327" spans="6:12" x14ac:dyDescent="0.35">
      <c r="F327" s="617"/>
      <c r="H327" s="617"/>
      <c r="I327" s="617"/>
      <c r="L327" s="617"/>
    </row>
    <row r="328" spans="6:12" x14ac:dyDescent="0.35">
      <c r="F328" s="617"/>
      <c r="H328" s="617"/>
      <c r="I328" s="617"/>
      <c r="L328" s="617"/>
    </row>
    <row r="329" spans="6:12" x14ac:dyDescent="0.35">
      <c r="F329" s="617"/>
      <c r="H329" s="617"/>
      <c r="I329" s="617"/>
      <c r="L329" s="617"/>
    </row>
    <row r="330" spans="6:12" x14ac:dyDescent="0.35">
      <c r="F330" s="617"/>
      <c r="H330" s="617"/>
      <c r="I330" s="617"/>
      <c r="L330" s="617"/>
    </row>
    <row r="331" spans="6:12" x14ac:dyDescent="0.35">
      <c r="F331" s="617"/>
      <c r="H331" s="617"/>
      <c r="I331" s="617"/>
      <c r="L331" s="617"/>
    </row>
    <row r="332" spans="6:12" x14ac:dyDescent="0.35">
      <c r="F332" s="617"/>
      <c r="H332" s="617"/>
      <c r="I332" s="617"/>
      <c r="L332" s="617"/>
    </row>
    <row r="333" spans="6:12" x14ac:dyDescent="0.35">
      <c r="F333" s="617"/>
      <c r="H333" s="617"/>
      <c r="I333" s="617"/>
      <c r="L333" s="617"/>
    </row>
    <row r="334" spans="6:12" x14ac:dyDescent="0.35">
      <c r="F334" s="617"/>
      <c r="H334" s="617"/>
      <c r="I334" s="617"/>
      <c r="L334" s="617"/>
    </row>
    <row r="335" spans="6:12" x14ac:dyDescent="0.35">
      <c r="F335" s="617"/>
      <c r="H335" s="617"/>
      <c r="I335" s="617"/>
      <c r="L335" s="617"/>
    </row>
    <row r="336" spans="6:12" x14ac:dyDescent="0.35">
      <c r="F336" s="617"/>
      <c r="H336" s="617"/>
      <c r="I336" s="617"/>
      <c r="L336" s="617"/>
    </row>
    <row r="337" spans="6:12" x14ac:dyDescent="0.35">
      <c r="F337" s="617"/>
      <c r="H337" s="617"/>
      <c r="I337" s="617"/>
      <c r="L337" s="617"/>
    </row>
    <row r="338" spans="6:12" x14ac:dyDescent="0.35">
      <c r="F338" s="617"/>
      <c r="H338" s="617"/>
      <c r="I338" s="617"/>
      <c r="L338" s="617"/>
    </row>
    <row r="339" spans="6:12" x14ac:dyDescent="0.35">
      <c r="F339" s="617"/>
      <c r="H339" s="617"/>
      <c r="I339" s="617"/>
      <c r="L339" s="617"/>
    </row>
    <row r="340" spans="6:12" x14ac:dyDescent="0.35">
      <c r="F340" s="617"/>
      <c r="H340" s="617"/>
      <c r="I340" s="617"/>
      <c r="L340" s="617"/>
    </row>
    <row r="341" spans="6:12" x14ac:dyDescent="0.35">
      <c r="F341" s="617"/>
      <c r="H341" s="617"/>
      <c r="I341" s="617"/>
      <c r="L341" s="617"/>
    </row>
    <row r="342" spans="6:12" x14ac:dyDescent="0.35">
      <c r="F342" s="617"/>
      <c r="H342" s="617"/>
      <c r="I342" s="617"/>
      <c r="L342" s="617"/>
    </row>
    <row r="343" spans="6:12" x14ac:dyDescent="0.35">
      <c r="F343" s="617"/>
      <c r="H343" s="617"/>
      <c r="I343" s="617"/>
      <c r="L343" s="617"/>
    </row>
    <row r="344" spans="6:12" x14ac:dyDescent="0.35">
      <c r="F344" s="617"/>
      <c r="H344" s="617"/>
      <c r="I344" s="617"/>
      <c r="L344" s="617"/>
    </row>
    <row r="345" spans="6:12" x14ac:dyDescent="0.35">
      <c r="F345" s="617"/>
      <c r="H345" s="617"/>
      <c r="I345" s="617"/>
      <c r="L345" s="617"/>
    </row>
    <row r="346" spans="6:12" x14ac:dyDescent="0.35">
      <c r="F346" s="617"/>
      <c r="H346" s="617"/>
      <c r="I346" s="617"/>
      <c r="L346" s="617"/>
    </row>
    <row r="347" spans="6:12" x14ac:dyDescent="0.35">
      <c r="F347" s="617"/>
      <c r="H347" s="617"/>
      <c r="I347" s="617"/>
      <c r="L347" s="617"/>
    </row>
    <row r="348" spans="6:12" x14ac:dyDescent="0.35">
      <c r="F348" s="617"/>
      <c r="H348" s="617"/>
      <c r="I348" s="617"/>
      <c r="L348" s="617"/>
    </row>
    <row r="349" spans="6:12" x14ac:dyDescent="0.35">
      <c r="F349" s="617"/>
      <c r="H349" s="617"/>
      <c r="I349" s="617"/>
      <c r="L349" s="617"/>
    </row>
    <row r="350" spans="6:12" x14ac:dyDescent="0.35">
      <c r="F350" s="617"/>
      <c r="H350" s="617"/>
      <c r="I350" s="617"/>
      <c r="L350" s="617"/>
    </row>
    <row r="351" spans="6:12" x14ac:dyDescent="0.35">
      <c r="F351" s="617"/>
      <c r="H351" s="617"/>
      <c r="I351" s="617"/>
      <c r="L351" s="617"/>
    </row>
    <row r="352" spans="6:12" x14ac:dyDescent="0.35">
      <c r="F352" s="617"/>
      <c r="H352" s="617"/>
      <c r="I352" s="617"/>
      <c r="L352" s="617"/>
    </row>
    <row r="353" spans="6:12" x14ac:dyDescent="0.35">
      <c r="F353" s="617"/>
      <c r="H353" s="617"/>
      <c r="I353" s="617"/>
      <c r="L353" s="617"/>
    </row>
    <row r="354" spans="6:12" x14ac:dyDescent="0.35">
      <c r="F354" s="617"/>
      <c r="H354" s="617"/>
      <c r="I354" s="617"/>
      <c r="L354" s="617"/>
    </row>
    <row r="355" spans="6:12" x14ac:dyDescent="0.35">
      <c r="F355" s="617"/>
      <c r="H355" s="617"/>
      <c r="I355" s="617"/>
      <c r="L355" s="617"/>
    </row>
    <row r="356" spans="6:12" x14ac:dyDescent="0.35">
      <c r="F356" s="617"/>
      <c r="H356" s="617"/>
      <c r="I356" s="617"/>
      <c r="L356" s="617"/>
    </row>
    <row r="357" spans="6:12" x14ac:dyDescent="0.35">
      <c r="F357" s="617"/>
      <c r="H357" s="617"/>
      <c r="I357" s="617"/>
      <c r="L357" s="617"/>
    </row>
    <row r="358" spans="6:12" x14ac:dyDescent="0.35">
      <c r="F358" s="617"/>
      <c r="H358" s="617"/>
      <c r="I358" s="617"/>
      <c r="L358" s="617"/>
    </row>
    <row r="359" spans="6:12" x14ac:dyDescent="0.35">
      <c r="F359" s="617"/>
      <c r="H359" s="617"/>
      <c r="I359" s="617"/>
      <c r="L359" s="617"/>
    </row>
    <row r="360" spans="6:12" x14ac:dyDescent="0.35">
      <c r="F360" s="617"/>
      <c r="H360" s="617"/>
      <c r="I360" s="617"/>
      <c r="L360" s="617"/>
    </row>
    <row r="361" spans="6:12" x14ac:dyDescent="0.35">
      <c r="F361" s="617"/>
      <c r="H361" s="617"/>
      <c r="I361" s="617"/>
      <c r="L361" s="617"/>
    </row>
    <row r="362" spans="6:12" x14ac:dyDescent="0.35">
      <c r="F362" s="617"/>
      <c r="H362" s="617"/>
      <c r="I362" s="617"/>
      <c r="L362" s="617"/>
    </row>
    <row r="363" spans="6:12" x14ac:dyDescent="0.35">
      <c r="F363" s="617"/>
      <c r="H363" s="617"/>
      <c r="I363" s="617"/>
      <c r="L363" s="617"/>
    </row>
    <row r="364" spans="6:12" x14ac:dyDescent="0.35">
      <c r="F364" s="617"/>
      <c r="H364" s="617"/>
      <c r="I364" s="617"/>
      <c r="L364" s="617"/>
    </row>
    <row r="365" spans="6:12" x14ac:dyDescent="0.35">
      <c r="F365" s="617"/>
      <c r="H365" s="617"/>
      <c r="I365" s="617"/>
      <c r="L365" s="617"/>
    </row>
    <row r="366" spans="6:12" x14ac:dyDescent="0.35">
      <c r="F366" s="617"/>
      <c r="H366" s="617"/>
      <c r="I366" s="617"/>
      <c r="L366" s="617"/>
    </row>
    <row r="367" spans="6:12" x14ac:dyDescent="0.35">
      <c r="F367" s="617"/>
      <c r="H367" s="617"/>
      <c r="I367" s="617"/>
      <c r="L367" s="617"/>
    </row>
    <row r="368" spans="6:12" x14ac:dyDescent="0.35">
      <c r="F368" s="617"/>
      <c r="H368" s="617"/>
      <c r="I368" s="617"/>
      <c r="L368" s="617"/>
    </row>
    <row r="369" spans="6:12" x14ac:dyDescent="0.35">
      <c r="F369" s="617"/>
      <c r="H369" s="617"/>
      <c r="I369" s="617"/>
      <c r="L369" s="617"/>
    </row>
    <row r="370" spans="6:12" x14ac:dyDescent="0.35">
      <c r="F370" s="617"/>
      <c r="H370" s="617"/>
      <c r="I370" s="617"/>
      <c r="L370" s="617"/>
    </row>
    <row r="371" spans="6:12" x14ac:dyDescent="0.35">
      <c r="F371" s="617"/>
      <c r="H371" s="617"/>
      <c r="I371" s="617"/>
      <c r="L371" s="617"/>
    </row>
    <row r="372" spans="6:12" x14ac:dyDescent="0.35">
      <c r="F372" s="617"/>
      <c r="H372" s="617"/>
      <c r="I372" s="617"/>
      <c r="L372" s="617"/>
    </row>
    <row r="373" spans="6:12" x14ac:dyDescent="0.35">
      <c r="F373" s="617"/>
      <c r="H373" s="617"/>
      <c r="I373" s="617"/>
      <c r="L373" s="617"/>
    </row>
    <row r="374" spans="6:12" x14ac:dyDescent="0.35">
      <c r="F374" s="617"/>
      <c r="H374" s="617"/>
      <c r="I374" s="617"/>
      <c r="L374" s="617"/>
    </row>
    <row r="375" spans="6:12" x14ac:dyDescent="0.35">
      <c r="F375" s="617"/>
      <c r="H375" s="617"/>
      <c r="I375" s="617"/>
      <c r="L375" s="617"/>
    </row>
    <row r="376" spans="6:12" x14ac:dyDescent="0.35">
      <c r="F376" s="617"/>
      <c r="H376" s="617"/>
      <c r="I376" s="617"/>
      <c r="L376" s="617"/>
    </row>
    <row r="377" spans="6:12" x14ac:dyDescent="0.35">
      <c r="F377" s="617"/>
      <c r="H377" s="617"/>
      <c r="I377" s="617"/>
      <c r="L377" s="617"/>
    </row>
    <row r="378" spans="6:12" x14ac:dyDescent="0.35">
      <c r="F378" s="617"/>
      <c r="H378" s="617"/>
      <c r="I378" s="617"/>
      <c r="L378" s="617"/>
    </row>
    <row r="379" spans="6:12" x14ac:dyDescent="0.35">
      <c r="F379" s="617"/>
      <c r="H379" s="617"/>
      <c r="I379" s="617"/>
      <c r="L379" s="617"/>
    </row>
    <row r="380" spans="6:12" x14ac:dyDescent="0.35">
      <c r="F380" s="617"/>
      <c r="H380" s="617"/>
      <c r="I380" s="617"/>
      <c r="L380" s="617"/>
    </row>
    <row r="381" spans="6:12" x14ac:dyDescent="0.35">
      <c r="F381" s="617"/>
      <c r="H381" s="617"/>
      <c r="I381" s="617"/>
      <c r="L381" s="617"/>
    </row>
    <row r="382" spans="6:12" x14ac:dyDescent="0.35">
      <c r="F382" s="617"/>
      <c r="H382" s="617"/>
      <c r="I382" s="617"/>
      <c r="L382" s="617"/>
    </row>
    <row r="383" spans="6:12" x14ac:dyDescent="0.35">
      <c r="F383" s="617"/>
      <c r="H383" s="617"/>
      <c r="I383" s="617"/>
      <c r="L383" s="617"/>
    </row>
    <row r="384" spans="6:12" x14ac:dyDescent="0.35">
      <c r="F384" s="617"/>
      <c r="H384" s="617"/>
      <c r="I384" s="617"/>
      <c r="L384" s="617"/>
    </row>
    <row r="385" spans="6:12" x14ac:dyDescent="0.35">
      <c r="F385" s="617"/>
      <c r="H385" s="617"/>
      <c r="I385" s="617"/>
      <c r="L385" s="617"/>
    </row>
    <row r="386" spans="6:12" x14ac:dyDescent="0.35">
      <c r="F386" s="617"/>
      <c r="H386" s="617"/>
      <c r="I386" s="617"/>
      <c r="L386" s="617"/>
    </row>
    <row r="387" spans="6:12" x14ac:dyDescent="0.35">
      <c r="F387" s="617"/>
      <c r="H387" s="617"/>
      <c r="I387" s="617"/>
      <c r="L387" s="617"/>
    </row>
    <row r="388" spans="6:12" x14ac:dyDescent="0.35">
      <c r="F388" s="617"/>
      <c r="H388" s="617"/>
      <c r="I388" s="617"/>
      <c r="L388" s="617"/>
    </row>
    <row r="389" spans="6:12" x14ac:dyDescent="0.35">
      <c r="F389" s="617"/>
      <c r="H389" s="617"/>
      <c r="I389" s="617"/>
      <c r="L389" s="617"/>
    </row>
    <row r="390" spans="6:12" x14ac:dyDescent="0.35">
      <c r="F390" s="617"/>
      <c r="H390" s="617"/>
      <c r="I390" s="617"/>
      <c r="L390" s="617"/>
    </row>
    <row r="391" spans="6:12" x14ac:dyDescent="0.35">
      <c r="F391" s="617"/>
      <c r="H391" s="617"/>
      <c r="I391" s="617"/>
      <c r="L391" s="617"/>
    </row>
    <row r="392" spans="6:12" x14ac:dyDescent="0.35">
      <c r="F392" s="617"/>
      <c r="H392" s="617"/>
      <c r="I392" s="617"/>
      <c r="L392" s="617"/>
    </row>
    <row r="393" spans="6:12" x14ac:dyDescent="0.35">
      <c r="F393" s="617"/>
      <c r="H393" s="617"/>
      <c r="I393" s="617"/>
      <c r="L393" s="617"/>
    </row>
    <row r="394" spans="6:12" x14ac:dyDescent="0.35">
      <c r="F394" s="617"/>
      <c r="H394" s="617"/>
      <c r="I394" s="617"/>
      <c r="L394" s="617"/>
    </row>
    <row r="395" spans="6:12" x14ac:dyDescent="0.35">
      <c r="F395" s="617"/>
      <c r="H395" s="617"/>
      <c r="I395" s="617"/>
      <c r="L395" s="617"/>
    </row>
    <row r="396" spans="6:12" x14ac:dyDescent="0.35">
      <c r="F396" s="617"/>
      <c r="H396" s="617"/>
      <c r="I396" s="617"/>
      <c r="L396" s="617"/>
    </row>
    <row r="397" spans="6:12" x14ac:dyDescent="0.35">
      <c r="F397" s="617"/>
      <c r="H397" s="617"/>
      <c r="I397" s="617"/>
      <c r="L397" s="617"/>
    </row>
    <row r="398" spans="6:12" x14ac:dyDescent="0.35">
      <c r="F398" s="617"/>
      <c r="H398" s="617"/>
      <c r="I398" s="617"/>
      <c r="L398" s="617"/>
    </row>
    <row r="399" spans="6:12" x14ac:dyDescent="0.35">
      <c r="F399" s="617"/>
      <c r="H399" s="617"/>
      <c r="I399" s="617"/>
      <c r="L399" s="617"/>
    </row>
    <row r="400" spans="6:12" x14ac:dyDescent="0.35">
      <c r="F400" s="617"/>
      <c r="H400" s="617"/>
      <c r="I400" s="617"/>
      <c r="L400" s="617"/>
    </row>
    <row r="401" spans="6:12" x14ac:dyDescent="0.35">
      <c r="F401" s="617"/>
      <c r="H401" s="617"/>
      <c r="I401" s="617"/>
      <c r="L401" s="617"/>
    </row>
    <row r="402" spans="6:12" x14ac:dyDescent="0.35">
      <c r="F402" s="617"/>
      <c r="H402" s="617"/>
      <c r="I402" s="617"/>
      <c r="L402" s="617"/>
    </row>
    <row r="403" spans="6:12" x14ac:dyDescent="0.35">
      <c r="F403" s="617"/>
      <c r="H403" s="617"/>
      <c r="I403" s="617"/>
      <c r="L403" s="617"/>
    </row>
    <row r="404" spans="6:12" x14ac:dyDescent="0.35">
      <c r="F404" s="617"/>
      <c r="H404" s="617"/>
      <c r="I404" s="617"/>
      <c r="L404" s="617"/>
    </row>
    <row r="405" spans="6:12" x14ac:dyDescent="0.35">
      <c r="F405" s="617"/>
      <c r="H405" s="617"/>
      <c r="I405" s="617"/>
      <c r="L405" s="617"/>
    </row>
    <row r="406" spans="6:12" x14ac:dyDescent="0.35">
      <c r="F406" s="617"/>
      <c r="H406" s="617"/>
      <c r="I406" s="617"/>
      <c r="L406" s="617"/>
    </row>
    <row r="407" spans="6:12" x14ac:dyDescent="0.35">
      <c r="F407" s="617"/>
      <c r="H407" s="617"/>
      <c r="I407" s="617"/>
      <c r="L407" s="617"/>
    </row>
    <row r="408" spans="6:12" x14ac:dyDescent="0.35">
      <c r="F408" s="617"/>
      <c r="H408" s="617"/>
      <c r="I408" s="617"/>
      <c r="L408" s="617"/>
    </row>
    <row r="409" spans="6:12" x14ac:dyDescent="0.35">
      <c r="F409" s="617"/>
      <c r="H409" s="617"/>
      <c r="I409" s="617"/>
      <c r="L409" s="617"/>
    </row>
    <row r="410" spans="6:12" x14ac:dyDescent="0.35">
      <c r="F410" s="617"/>
      <c r="H410" s="617"/>
      <c r="I410" s="617"/>
      <c r="L410" s="617"/>
    </row>
    <row r="411" spans="6:12" x14ac:dyDescent="0.35">
      <c r="F411" s="617"/>
      <c r="H411" s="617"/>
      <c r="I411" s="617"/>
      <c r="L411" s="617"/>
    </row>
    <row r="412" spans="6:12" x14ac:dyDescent="0.35">
      <c r="F412" s="617"/>
      <c r="H412" s="617"/>
      <c r="I412" s="617"/>
      <c r="L412" s="617"/>
    </row>
    <row r="413" spans="6:12" x14ac:dyDescent="0.35">
      <c r="F413" s="617"/>
      <c r="H413" s="617"/>
      <c r="I413" s="617"/>
      <c r="L413" s="617"/>
    </row>
    <row r="414" spans="6:12" x14ac:dyDescent="0.35">
      <c r="F414" s="617"/>
      <c r="H414" s="617"/>
      <c r="I414" s="617"/>
      <c r="L414" s="617"/>
    </row>
    <row r="415" spans="6:12" x14ac:dyDescent="0.35">
      <c r="F415" s="617"/>
      <c r="H415" s="617"/>
      <c r="I415" s="617"/>
      <c r="L415" s="617"/>
    </row>
    <row r="416" spans="6:12" x14ac:dyDescent="0.35">
      <c r="F416" s="617"/>
      <c r="H416" s="617"/>
      <c r="I416" s="617"/>
      <c r="L416" s="617"/>
    </row>
    <row r="417" spans="6:12" x14ac:dyDescent="0.35">
      <c r="F417" s="617"/>
      <c r="H417" s="617"/>
      <c r="I417" s="617"/>
      <c r="L417" s="617"/>
    </row>
    <row r="418" spans="6:12" x14ac:dyDescent="0.35">
      <c r="F418" s="617"/>
      <c r="H418" s="617"/>
      <c r="I418" s="617"/>
      <c r="L418" s="617"/>
    </row>
    <row r="419" spans="6:12" x14ac:dyDescent="0.35">
      <c r="F419" s="617"/>
      <c r="H419" s="617"/>
      <c r="I419" s="617"/>
      <c r="L419" s="617"/>
    </row>
    <row r="420" spans="6:12" x14ac:dyDescent="0.35">
      <c r="F420" s="617"/>
      <c r="H420" s="617"/>
      <c r="I420" s="617"/>
      <c r="L420" s="617"/>
    </row>
    <row r="421" spans="6:12" x14ac:dyDescent="0.35">
      <c r="F421" s="617"/>
      <c r="H421" s="617"/>
      <c r="I421" s="617"/>
      <c r="L421" s="617"/>
    </row>
    <row r="422" spans="6:12" x14ac:dyDescent="0.35">
      <c r="F422" s="617"/>
      <c r="H422" s="617"/>
      <c r="I422" s="617"/>
      <c r="L422" s="617"/>
    </row>
    <row r="423" spans="6:12" x14ac:dyDescent="0.35">
      <c r="F423" s="617"/>
      <c r="H423" s="617"/>
      <c r="I423" s="617"/>
      <c r="L423" s="617"/>
    </row>
    <row r="424" spans="6:12" x14ac:dyDescent="0.35">
      <c r="F424" s="617"/>
      <c r="H424" s="617"/>
      <c r="I424" s="617"/>
      <c r="L424" s="617"/>
    </row>
    <row r="425" spans="6:12" x14ac:dyDescent="0.35">
      <c r="F425" s="617"/>
      <c r="H425" s="617"/>
      <c r="I425" s="617"/>
      <c r="L425" s="617"/>
    </row>
    <row r="426" spans="6:12" x14ac:dyDescent="0.35">
      <c r="F426" s="617"/>
      <c r="H426" s="617"/>
      <c r="I426" s="617"/>
      <c r="L426" s="617"/>
    </row>
    <row r="427" spans="6:12" x14ac:dyDescent="0.35">
      <c r="F427" s="617"/>
      <c r="H427" s="617"/>
      <c r="I427" s="617"/>
      <c r="L427" s="617"/>
    </row>
    <row r="428" spans="6:12" x14ac:dyDescent="0.35">
      <c r="F428" s="617"/>
      <c r="H428" s="617"/>
      <c r="I428" s="617"/>
      <c r="L428" s="617"/>
    </row>
    <row r="429" spans="6:12" x14ac:dyDescent="0.35">
      <c r="F429" s="617"/>
      <c r="H429" s="617"/>
      <c r="I429" s="617"/>
      <c r="L429" s="617"/>
    </row>
    <row r="430" spans="6:12" x14ac:dyDescent="0.35">
      <c r="F430" s="617"/>
      <c r="H430" s="617"/>
      <c r="I430" s="617"/>
      <c r="L430" s="617"/>
    </row>
    <row r="431" spans="6:12" x14ac:dyDescent="0.35">
      <c r="F431" s="617"/>
      <c r="H431" s="617"/>
      <c r="I431" s="617"/>
      <c r="L431" s="617"/>
    </row>
    <row r="432" spans="6:12" x14ac:dyDescent="0.35">
      <c r="F432" s="617"/>
      <c r="H432" s="617"/>
      <c r="I432" s="617"/>
      <c r="L432" s="617"/>
    </row>
    <row r="433" spans="6:12" x14ac:dyDescent="0.35">
      <c r="F433" s="617"/>
      <c r="H433" s="617"/>
      <c r="I433" s="617"/>
      <c r="L433" s="617"/>
    </row>
    <row r="434" spans="6:12" x14ac:dyDescent="0.35">
      <c r="F434" s="617"/>
      <c r="H434" s="617"/>
      <c r="I434" s="617"/>
      <c r="L434" s="617"/>
    </row>
    <row r="435" spans="6:12" x14ac:dyDescent="0.35">
      <c r="F435" s="617"/>
      <c r="H435" s="617"/>
      <c r="I435" s="617"/>
      <c r="L435" s="617"/>
    </row>
    <row r="436" spans="6:12" x14ac:dyDescent="0.35">
      <c r="F436" s="617"/>
      <c r="H436" s="617"/>
      <c r="I436" s="617"/>
      <c r="L436" s="617"/>
    </row>
    <row r="437" spans="6:12" x14ac:dyDescent="0.35">
      <c r="F437" s="617"/>
      <c r="H437" s="617"/>
      <c r="I437" s="617"/>
      <c r="L437" s="617"/>
    </row>
    <row r="438" spans="6:12" x14ac:dyDescent="0.35">
      <c r="F438" s="617"/>
      <c r="H438" s="617"/>
      <c r="I438" s="617"/>
      <c r="L438" s="617"/>
    </row>
    <row r="439" spans="6:12" x14ac:dyDescent="0.35">
      <c r="F439" s="617"/>
      <c r="H439" s="617"/>
      <c r="I439" s="617"/>
      <c r="L439" s="617"/>
    </row>
    <row r="440" spans="6:12" x14ac:dyDescent="0.35">
      <c r="F440" s="617"/>
      <c r="H440" s="617"/>
      <c r="I440" s="617"/>
      <c r="L440" s="617"/>
    </row>
    <row r="441" spans="6:12" x14ac:dyDescent="0.35">
      <c r="F441" s="617"/>
      <c r="H441" s="617"/>
      <c r="I441" s="617"/>
      <c r="L441" s="617"/>
    </row>
    <row r="442" spans="6:12" x14ac:dyDescent="0.35">
      <c r="F442" s="617"/>
      <c r="H442" s="617"/>
      <c r="I442" s="617"/>
      <c r="L442" s="617"/>
    </row>
    <row r="443" spans="6:12" x14ac:dyDescent="0.35">
      <c r="F443" s="617"/>
      <c r="H443" s="617"/>
      <c r="I443" s="617"/>
      <c r="L443" s="617"/>
    </row>
    <row r="444" spans="6:12" x14ac:dyDescent="0.35">
      <c r="F444" s="617"/>
      <c r="H444" s="617"/>
      <c r="I444" s="617"/>
      <c r="L444" s="617"/>
    </row>
    <row r="445" spans="6:12" x14ac:dyDescent="0.35">
      <c r="F445" s="617"/>
      <c r="H445" s="617"/>
      <c r="I445" s="617"/>
      <c r="L445" s="617"/>
    </row>
    <row r="446" spans="6:12" x14ac:dyDescent="0.35">
      <c r="F446" s="617"/>
      <c r="H446" s="617"/>
      <c r="I446" s="617"/>
      <c r="L446" s="617"/>
    </row>
    <row r="447" spans="6:12" x14ac:dyDescent="0.35">
      <c r="F447" s="617"/>
      <c r="H447" s="617"/>
      <c r="I447" s="617"/>
      <c r="L447" s="617"/>
    </row>
    <row r="448" spans="6:12" x14ac:dyDescent="0.35">
      <c r="F448" s="617"/>
      <c r="H448" s="617"/>
      <c r="I448" s="617"/>
      <c r="L448" s="617"/>
    </row>
    <row r="449" spans="6:12" x14ac:dyDescent="0.35">
      <c r="F449" s="617"/>
      <c r="H449" s="617"/>
      <c r="I449" s="617"/>
      <c r="L449" s="617"/>
    </row>
    <row r="450" spans="6:12" x14ac:dyDescent="0.35">
      <c r="F450" s="617"/>
      <c r="H450" s="617"/>
      <c r="I450" s="617"/>
      <c r="L450" s="617"/>
    </row>
    <row r="451" spans="6:12" x14ac:dyDescent="0.35">
      <c r="F451" s="617"/>
      <c r="H451" s="617"/>
      <c r="I451" s="617"/>
      <c r="L451" s="617"/>
    </row>
    <row r="452" spans="6:12" x14ac:dyDescent="0.35">
      <c r="F452" s="617"/>
      <c r="H452" s="617"/>
      <c r="I452" s="617"/>
      <c r="L452" s="617"/>
    </row>
    <row r="453" spans="6:12" x14ac:dyDescent="0.35">
      <c r="F453" s="617"/>
      <c r="H453" s="617"/>
      <c r="I453" s="617"/>
      <c r="L453" s="617"/>
    </row>
    <row r="454" spans="6:12" x14ac:dyDescent="0.35">
      <c r="F454" s="617"/>
      <c r="H454" s="617"/>
      <c r="I454" s="617"/>
      <c r="L454" s="617"/>
    </row>
    <row r="455" spans="6:12" x14ac:dyDescent="0.35">
      <c r="F455" s="617"/>
      <c r="H455" s="617"/>
      <c r="I455" s="617"/>
      <c r="L455" s="617"/>
    </row>
    <row r="456" spans="6:12" x14ac:dyDescent="0.35">
      <c r="F456" s="617"/>
      <c r="H456" s="617"/>
      <c r="I456" s="617"/>
      <c r="L456" s="617"/>
    </row>
    <row r="457" spans="6:12" x14ac:dyDescent="0.35">
      <c r="F457" s="617"/>
      <c r="H457" s="617"/>
      <c r="I457" s="617"/>
      <c r="L457" s="617"/>
    </row>
    <row r="458" spans="6:12" x14ac:dyDescent="0.35">
      <c r="F458" s="617"/>
      <c r="H458" s="617"/>
      <c r="I458" s="617"/>
      <c r="L458" s="617"/>
    </row>
    <row r="459" spans="6:12" x14ac:dyDescent="0.35">
      <c r="F459" s="617"/>
      <c r="H459" s="617"/>
      <c r="I459" s="617"/>
      <c r="L459" s="617"/>
    </row>
    <row r="460" spans="6:12" x14ac:dyDescent="0.35">
      <c r="F460" s="617"/>
      <c r="H460" s="617"/>
      <c r="I460" s="617"/>
      <c r="L460" s="617"/>
    </row>
    <row r="461" spans="6:12" x14ac:dyDescent="0.35">
      <c r="F461" s="617"/>
      <c r="H461" s="617"/>
      <c r="I461" s="617"/>
      <c r="L461" s="617"/>
    </row>
    <row r="462" spans="6:12" x14ac:dyDescent="0.35">
      <c r="F462" s="617"/>
      <c r="H462" s="617"/>
      <c r="I462" s="617"/>
      <c r="L462" s="617"/>
    </row>
    <row r="463" spans="6:12" x14ac:dyDescent="0.35">
      <c r="F463" s="617"/>
      <c r="H463" s="617"/>
      <c r="I463" s="617"/>
      <c r="L463" s="617"/>
    </row>
    <row r="464" spans="6:12" x14ac:dyDescent="0.35">
      <c r="F464" s="617"/>
      <c r="H464" s="617"/>
      <c r="I464" s="617"/>
      <c r="L464" s="617"/>
    </row>
    <row r="465" spans="6:12" x14ac:dyDescent="0.35">
      <c r="F465" s="617"/>
      <c r="H465" s="617"/>
      <c r="I465" s="617"/>
      <c r="L465" s="617"/>
    </row>
    <row r="466" spans="6:12" x14ac:dyDescent="0.35">
      <c r="F466" s="617"/>
      <c r="H466" s="617"/>
      <c r="I466" s="617"/>
      <c r="L466" s="617"/>
    </row>
    <row r="467" spans="6:12" x14ac:dyDescent="0.35">
      <c r="F467" s="617"/>
      <c r="H467" s="617"/>
      <c r="I467" s="617"/>
      <c r="L467" s="617"/>
    </row>
    <row r="468" spans="6:12" x14ac:dyDescent="0.35">
      <c r="F468" s="617"/>
      <c r="H468" s="617"/>
      <c r="I468" s="617"/>
      <c r="L468" s="617"/>
    </row>
    <row r="469" spans="6:12" x14ac:dyDescent="0.35">
      <c r="F469" s="617"/>
      <c r="H469" s="617"/>
      <c r="I469" s="617"/>
      <c r="L469" s="617"/>
    </row>
    <row r="470" spans="6:12" x14ac:dyDescent="0.35">
      <c r="F470" s="617"/>
      <c r="H470" s="617"/>
      <c r="I470" s="617"/>
      <c r="L470" s="617"/>
    </row>
    <row r="471" spans="6:12" x14ac:dyDescent="0.35">
      <c r="F471" s="617"/>
      <c r="H471" s="617"/>
      <c r="I471" s="617"/>
      <c r="L471" s="617"/>
    </row>
    <row r="472" spans="6:12" x14ac:dyDescent="0.35">
      <c r="F472" s="617"/>
      <c r="H472" s="617"/>
      <c r="I472" s="617"/>
      <c r="L472" s="617"/>
    </row>
    <row r="473" spans="6:12" x14ac:dyDescent="0.35">
      <c r="F473" s="617"/>
      <c r="H473" s="617"/>
      <c r="I473" s="617"/>
      <c r="L473" s="617"/>
    </row>
    <row r="474" spans="6:12" x14ac:dyDescent="0.35">
      <c r="F474" s="617"/>
      <c r="H474" s="617"/>
      <c r="I474" s="617"/>
      <c r="L474" s="617"/>
    </row>
    <row r="475" spans="6:12" x14ac:dyDescent="0.35">
      <c r="F475" s="617"/>
      <c r="H475" s="617"/>
      <c r="I475" s="617"/>
      <c r="L475" s="617"/>
    </row>
    <row r="476" spans="6:12" x14ac:dyDescent="0.35">
      <c r="F476" s="617"/>
      <c r="H476" s="617"/>
      <c r="I476" s="617"/>
      <c r="L476" s="617"/>
    </row>
    <row r="477" spans="6:12" x14ac:dyDescent="0.35">
      <c r="F477" s="617"/>
      <c r="H477" s="617"/>
      <c r="I477" s="617"/>
      <c r="L477" s="617"/>
    </row>
    <row r="478" spans="6:12" x14ac:dyDescent="0.35">
      <c r="F478" s="617"/>
      <c r="H478" s="617"/>
      <c r="I478" s="617"/>
      <c r="L478" s="617"/>
    </row>
    <row r="479" spans="6:12" x14ac:dyDescent="0.35">
      <c r="F479" s="617"/>
      <c r="H479" s="617"/>
      <c r="I479" s="617"/>
      <c r="L479" s="617"/>
    </row>
    <row r="480" spans="6:12" x14ac:dyDescent="0.35">
      <c r="F480" s="617"/>
      <c r="H480" s="617"/>
      <c r="I480" s="617"/>
      <c r="L480" s="617"/>
    </row>
    <row r="481" spans="6:12" x14ac:dyDescent="0.35">
      <c r="F481" s="617"/>
      <c r="H481" s="617"/>
      <c r="I481" s="617"/>
      <c r="L481" s="617"/>
    </row>
    <row r="482" spans="6:12" x14ac:dyDescent="0.35">
      <c r="F482" s="617"/>
      <c r="H482" s="617"/>
      <c r="I482" s="617"/>
      <c r="L482" s="617"/>
    </row>
    <row r="483" spans="6:12" x14ac:dyDescent="0.35">
      <c r="F483" s="617"/>
      <c r="H483" s="617"/>
      <c r="I483" s="617"/>
      <c r="L483" s="617"/>
    </row>
    <row r="484" spans="6:12" x14ac:dyDescent="0.35">
      <c r="F484" s="617"/>
      <c r="H484" s="617"/>
      <c r="I484" s="617"/>
      <c r="L484" s="617"/>
    </row>
    <row r="485" spans="6:12" x14ac:dyDescent="0.35">
      <c r="F485" s="617"/>
      <c r="H485" s="617"/>
      <c r="I485" s="617"/>
      <c r="L485" s="617"/>
    </row>
    <row r="486" spans="6:12" x14ac:dyDescent="0.35">
      <c r="F486" s="617"/>
      <c r="H486" s="617"/>
      <c r="I486" s="617"/>
      <c r="L486" s="617"/>
    </row>
    <row r="487" spans="6:12" x14ac:dyDescent="0.35">
      <c r="F487" s="617"/>
      <c r="H487" s="617"/>
      <c r="I487" s="617"/>
      <c r="L487" s="617"/>
    </row>
    <row r="488" spans="6:12" x14ac:dyDescent="0.35">
      <c r="F488" s="617"/>
      <c r="H488" s="617"/>
      <c r="I488" s="617"/>
      <c r="L488" s="617"/>
    </row>
    <row r="489" spans="6:12" x14ac:dyDescent="0.35">
      <c r="F489" s="617"/>
      <c r="H489" s="617"/>
      <c r="I489" s="617"/>
      <c r="L489" s="617"/>
    </row>
    <row r="490" spans="6:12" x14ac:dyDescent="0.35">
      <c r="F490" s="617"/>
      <c r="H490" s="617"/>
      <c r="I490" s="617"/>
      <c r="L490" s="617"/>
    </row>
    <row r="491" spans="6:12" x14ac:dyDescent="0.35">
      <c r="F491" s="617"/>
      <c r="H491" s="617"/>
      <c r="I491" s="617"/>
      <c r="L491" s="617"/>
    </row>
    <row r="492" spans="6:12" x14ac:dyDescent="0.35">
      <c r="F492" s="617"/>
      <c r="H492" s="617"/>
      <c r="I492" s="617"/>
      <c r="L492" s="617"/>
    </row>
    <row r="493" spans="6:12" x14ac:dyDescent="0.35">
      <c r="F493" s="617"/>
      <c r="H493" s="617"/>
      <c r="I493" s="617"/>
      <c r="L493" s="617"/>
    </row>
    <row r="494" spans="6:12" x14ac:dyDescent="0.35">
      <c r="F494" s="617"/>
      <c r="H494" s="617"/>
      <c r="I494" s="617"/>
      <c r="L494" s="617"/>
    </row>
    <row r="495" spans="6:12" x14ac:dyDescent="0.35">
      <c r="F495" s="617"/>
      <c r="H495" s="617"/>
      <c r="I495" s="617"/>
      <c r="L495" s="617"/>
    </row>
    <row r="496" spans="6:12" x14ac:dyDescent="0.35">
      <c r="F496" s="617"/>
      <c r="H496" s="617"/>
      <c r="I496" s="617"/>
      <c r="L496" s="617"/>
    </row>
    <row r="497" spans="6:12" x14ac:dyDescent="0.35">
      <c r="F497" s="617"/>
      <c r="H497" s="617"/>
      <c r="I497" s="617"/>
      <c r="L497" s="617"/>
    </row>
    <row r="498" spans="6:12" x14ac:dyDescent="0.35">
      <c r="F498" s="617"/>
      <c r="H498" s="617"/>
      <c r="I498" s="617"/>
      <c r="L498" s="617"/>
    </row>
    <row r="499" spans="6:12" x14ac:dyDescent="0.35">
      <c r="F499" s="617"/>
      <c r="H499" s="617"/>
      <c r="I499" s="617"/>
      <c r="L499" s="617"/>
    </row>
    <row r="500" spans="6:12" x14ac:dyDescent="0.35">
      <c r="F500" s="617"/>
      <c r="H500" s="617"/>
      <c r="I500" s="617"/>
      <c r="L500" s="617"/>
    </row>
    <row r="501" spans="6:12" x14ac:dyDescent="0.35">
      <c r="F501" s="617"/>
      <c r="H501" s="617"/>
      <c r="I501" s="617"/>
      <c r="L501" s="617"/>
    </row>
    <row r="502" spans="6:12" x14ac:dyDescent="0.35">
      <c r="F502" s="617"/>
      <c r="H502" s="617"/>
      <c r="I502" s="617"/>
      <c r="L502" s="617"/>
    </row>
    <row r="503" spans="6:12" x14ac:dyDescent="0.35">
      <c r="F503" s="617"/>
      <c r="H503" s="617"/>
      <c r="I503" s="617"/>
      <c r="L503" s="617"/>
    </row>
    <row r="504" spans="6:12" x14ac:dyDescent="0.35">
      <c r="F504" s="617"/>
      <c r="H504" s="617"/>
      <c r="I504" s="617"/>
      <c r="L504" s="617"/>
    </row>
    <row r="505" spans="6:12" x14ac:dyDescent="0.35">
      <c r="F505" s="617"/>
      <c r="H505" s="617"/>
      <c r="I505" s="617"/>
      <c r="L505" s="617"/>
    </row>
    <row r="506" spans="6:12" x14ac:dyDescent="0.35">
      <c r="F506" s="617"/>
      <c r="H506" s="617"/>
      <c r="I506" s="617"/>
      <c r="L506" s="617"/>
    </row>
    <row r="507" spans="6:12" x14ac:dyDescent="0.35">
      <c r="F507" s="617"/>
      <c r="H507" s="617"/>
      <c r="I507" s="617"/>
      <c r="L507" s="617"/>
    </row>
    <row r="508" spans="6:12" x14ac:dyDescent="0.35">
      <c r="F508" s="617"/>
      <c r="H508" s="617"/>
      <c r="I508" s="617"/>
      <c r="L508" s="617"/>
    </row>
    <row r="509" spans="6:12" x14ac:dyDescent="0.35">
      <c r="F509" s="617"/>
      <c r="H509" s="617"/>
      <c r="I509" s="617"/>
      <c r="L509" s="617"/>
    </row>
    <row r="510" spans="6:12" x14ac:dyDescent="0.35">
      <c r="F510" s="617"/>
      <c r="H510" s="617"/>
      <c r="I510" s="617"/>
      <c r="L510" s="617"/>
    </row>
    <row r="511" spans="6:12" x14ac:dyDescent="0.35">
      <c r="F511" s="617"/>
      <c r="H511" s="617"/>
      <c r="I511" s="617"/>
      <c r="L511" s="617"/>
    </row>
    <row r="512" spans="6:12" x14ac:dyDescent="0.35">
      <c r="F512" s="617"/>
      <c r="H512" s="617"/>
      <c r="I512" s="617"/>
      <c r="L512" s="617"/>
    </row>
    <row r="513" spans="6:12" x14ac:dyDescent="0.35">
      <c r="F513" s="617"/>
      <c r="H513" s="617"/>
      <c r="I513" s="617"/>
      <c r="L513" s="617"/>
    </row>
    <row r="514" spans="6:12" x14ac:dyDescent="0.35">
      <c r="F514" s="617"/>
      <c r="H514" s="617"/>
      <c r="I514" s="617"/>
      <c r="L514" s="617"/>
    </row>
    <row r="515" spans="6:12" x14ac:dyDescent="0.35">
      <c r="F515" s="617"/>
      <c r="H515" s="617"/>
      <c r="I515" s="617"/>
      <c r="L515" s="617"/>
    </row>
    <row r="516" spans="6:12" x14ac:dyDescent="0.35">
      <c r="F516" s="617"/>
      <c r="H516" s="617"/>
      <c r="I516" s="617"/>
      <c r="L516" s="617"/>
    </row>
    <row r="517" spans="6:12" x14ac:dyDescent="0.35">
      <c r="F517" s="617"/>
      <c r="H517" s="617"/>
      <c r="I517" s="617"/>
      <c r="L517" s="617"/>
    </row>
    <row r="518" spans="6:12" x14ac:dyDescent="0.35">
      <c r="F518" s="617"/>
      <c r="H518" s="617"/>
      <c r="I518" s="617"/>
      <c r="L518" s="617"/>
    </row>
    <row r="519" spans="6:12" x14ac:dyDescent="0.35">
      <c r="F519" s="617"/>
      <c r="H519" s="617"/>
      <c r="I519" s="617"/>
      <c r="L519" s="617"/>
    </row>
  </sheetData>
  <sheetProtection algorithmName="SHA-512" hashValue="oa4v8YNESQNGgimh9ejqRTJPv0X8z+4QCoVvYht6BFRlnJ6uURbRajqOEwTm01P0tbdNkJ7IOEjrtEW7mV3TwA==" saltValue="AXF5I1+Bz5RUrA723ZlNGQ==" spinCount="100000" sheet="1"/>
  <mergeCells count="23">
    <mergeCell ref="A90:R90"/>
    <mergeCell ref="C82:D82"/>
    <mergeCell ref="C52:D52"/>
    <mergeCell ref="C61:D61"/>
    <mergeCell ref="B73:C73"/>
    <mergeCell ref="C66:D66"/>
    <mergeCell ref="A71:R71"/>
    <mergeCell ref="A80:R80"/>
    <mergeCell ref="A66:B66"/>
    <mergeCell ref="A59:R59"/>
    <mergeCell ref="H1:M1"/>
    <mergeCell ref="A61:B61"/>
    <mergeCell ref="A43:B43"/>
    <mergeCell ref="A52:B52"/>
    <mergeCell ref="B1:E1"/>
    <mergeCell ref="C14:D14"/>
    <mergeCell ref="C21:D21"/>
    <mergeCell ref="C43:D43"/>
    <mergeCell ref="B28:C28"/>
    <mergeCell ref="A12:R12"/>
    <mergeCell ref="A19:R19"/>
    <mergeCell ref="A26:R26"/>
    <mergeCell ref="A41:R41"/>
  </mergeCells>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664B-41BC-4E47-8630-BB76F7B7AD39}">
  <sheetPr>
    <tabColor theme="9" tint="-0.499984740745262"/>
  </sheetPr>
  <dimension ref="A3:C31"/>
  <sheetViews>
    <sheetView workbookViewId="0">
      <selection activeCell="E16" sqref="E16"/>
    </sheetView>
  </sheetViews>
  <sheetFormatPr baseColWidth="10" defaultColWidth="9.1796875" defaultRowHeight="14.5" x14ac:dyDescent="0.35"/>
  <cols>
    <col min="1" max="1" width="10.81640625" style="7" customWidth="1"/>
    <col min="2" max="2" width="26.453125" style="7" customWidth="1"/>
    <col min="3" max="3" width="111.453125" style="7" customWidth="1"/>
    <col min="4" max="16384" width="9.1796875" style="7"/>
  </cols>
  <sheetData>
    <row r="3" spans="1:3" ht="54.75" customHeight="1" x14ac:dyDescent="0.35">
      <c r="A3" s="155"/>
      <c r="B3" s="1273" t="s">
        <v>1959</v>
      </c>
      <c r="C3" s="1273"/>
    </row>
    <row r="4" spans="1:3" ht="15" customHeight="1" thickBot="1" x14ac:dyDescent="0.4">
      <c r="A4" s="155"/>
      <c r="B4" s="1274"/>
      <c r="C4" s="1274"/>
    </row>
    <row r="5" spans="1:3" ht="178.5" x14ac:dyDescent="0.35">
      <c r="A5" s="155"/>
      <c r="B5" s="1134" t="s">
        <v>1952</v>
      </c>
      <c r="C5" s="1132" t="s">
        <v>1955</v>
      </c>
    </row>
    <row r="6" spans="1:3" ht="46.5" x14ac:dyDescent="0.35">
      <c r="A6" s="155"/>
      <c r="B6" s="1135" t="s">
        <v>284</v>
      </c>
      <c r="C6" s="157" t="s">
        <v>1953</v>
      </c>
    </row>
    <row r="7" spans="1:3" ht="47.25" customHeight="1" x14ac:dyDescent="0.35">
      <c r="A7" s="155"/>
      <c r="B7" s="1135" t="s">
        <v>1958</v>
      </c>
      <c r="C7" s="157" t="s">
        <v>1957</v>
      </c>
    </row>
    <row r="8" spans="1:3" ht="15.5" x14ac:dyDescent="0.35">
      <c r="A8" s="155"/>
      <c r="B8" s="1135" t="s">
        <v>19</v>
      </c>
      <c r="C8" s="156" t="s">
        <v>1954</v>
      </c>
    </row>
    <row r="9" spans="1:3" ht="33.5" thickBot="1" x14ac:dyDescent="0.4">
      <c r="A9" s="155"/>
      <c r="B9" s="1136" t="s">
        <v>20</v>
      </c>
      <c r="C9" s="1133" t="s">
        <v>1962</v>
      </c>
    </row>
    <row r="11" spans="1:3" ht="22.4" customHeight="1" x14ac:dyDescent="0.35">
      <c r="B11" s="1275" t="s">
        <v>1960</v>
      </c>
      <c r="C11" s="1275"/>
    </row>
    <row r="13" spans="1:3" x14ac:dyDescent="0.35">
      <c r="B13" s="49" t="s">
        <v>1961</v>
      </c>
    </row>
    <row r="14" spans="1:3" x14ac:dyDescent="0.35">
      <c r="B14" s="495"/>
    </row>
    <row r="15" spans="1:3" x14ac:dyDescent="0.35">
      <c r="B15" s="158" t="s">
        <v>21</v>
      </c>
    </row>
    <row r="16" spans="1:3" ht="58.5" customHeight="1" x14ac:dyDescent="0.35">
      <c r="B16" s="1272" t="s">
        <v>1956</v>
      </c>
      <c r="C16" s="1272"/>
    </row>
    <row r="17" spans="2:3" ht="14.25" customHeight="1" x14ac:dyDescent="0.35"/>
    <row r="18" spans="2:3" x14ac:dyDescent="0.35">
      <c r="B18" s="158" t="s">
        <v>22</v>
      </c>
    </row>
    <row r="19" spans="2:3" ht="44.15" customHeight="1" x14ac:dyDescent="0.35">
      <c r="B19" s="1272" t="s">
        <v>23</v>
      </c>
      <c r="C19" s="1272"/>
    </row>
    <row r="20" spans="2:3" ht="14.25" customHeight="1" x14ac:dyDescent="0.35">
      <c r="B20" s="159"/>
      <c r="C20" s="159"/>
    </row>
    <row r="21" spans="2:3" x14ac:dyDescent="0.35">
      <c r="B21" s="158" t="s">
        <v>24</v>
      </c>
    </row>
    <row r="22" spans="2:3" ht="15" customHeight="1" x14ac:dyDescent="0.35">
      <c r="B22" s="1272" t="s">
        <v>25</v>
      </c>
      <c r="C22" s="1272"/>
    </row>
    <row r="23" spans="2:3" ht="14.25" customHeight="1" x14ac:dyDescent="0.35">
      <c r="B23" s="1129"/>
      <c r="C23" s="1129"/>
    </row>
    <row r="24" spans="2:3" x14ac:dyDescent="0.35">
      <c r="B24" s="158" t="s">
        <v>26</v>
      </c>
    </row>
    <row r="25" spans="2:3" ht="16.399999999999999" customHeight="1" x14ac:dyDescent="0.35">
      <c r="B25" s="1272" t="s">
        <v>25</v>
      </c>
      <c r="C25" s="1272"/>
    </row>
    <row r="26" spans="2:3" ht="14.25" customHeight="1" x14ac:dyDescent="0.35"/>
    <row r="27" spans="2:3" x14ac:dyDescent="0.35">
      <c r="B27" s="158" t="s">
        <v>27</v>
      </c>
    </row>
    <row r="28" spans="2:3" ht="15" customHeight="1" x14ac:dyDescent="0.35">
      <c r="B28" s="1272" t="s">
        <v>25</v>
      </c>
      <c r="C28" s="1272"/>
    </row>
    <row r="29" spans="2:3" ht="14.25" customHeight="1" x14ac:dyDescent="0.35"/>
    <row r="30" spans="2:3" x14ac:dyDescent="0.35">
      <c r="B30" s="158" t="s">
        <v>28</v>
      </c>
    </row>
    <row r="31" spans="2:3" ht="42" customHeight="1" x14ac:dyDescent="0.35">
      <c r="B31" s="1272" t="s">
        <v>29</v>
      </c>
      <c r="C31" s="1272"/>
    </row>
  </sheetData>
  <sheetProtection sheet="1" objects="1" scenarios="1"/>
  <mergeCells count="8">
    <mergeCell ref="B25:C25"/>
    <mergeCell ref="B28:C28"/>
    <mergeCell ref="B31:C31"/>
    <mergeCell ref="B3:C4"/>
    <mergeCell ref="B16:C16"/>
    <mergeCell ref="B19:C19"/>
    <mergeCell ref="B22:C22"/>
    <mergeCell ref="B11:C11"/>
  </mergeCells>
  <pageMargins left="0.7" right="0.7" top="0.75" bottom="0.75" header="0.3" footer="0.3"/>
  <pageSetup orientation="portrait" horizontalDpi="3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9BCB-CAE9-4EDD-8E83-88632BFF5CA0}">
  <sheetPr>
    <tabColor rgb="FF009999"/>
  </sheetPr>
  <dimension ref="A1:V262"/>
  <sheetViews>
    <sheetView topLeftCell="A11" zoomScale="70" zoomScaleNormal="70" workbookViewId="0">
      <selection activeCell="A28" sqref="A28:Q28"/>
    </sheetView>
  </sheetViews>
  <sheetFormatPr baseColWidth="10" defaultColWidth="8.81640625" defaultRowHeight="15.5" x14ac:dyDescent="0.35"/>
  <cols>
    <col min="1" max="1" width="46.1796875" style="617" customWidth="1"/>
    <col min="2" max="2" width="30.453125" style="617" bestFit="1" customWidth="1"/>
    <col min="3" max="3" width="28.7265625" style="617" customWidth="1"/>
    <col min="4" max="4" width="27" style="617" customWidth="1"/>
    <col min="5" max="5" width="19.7265625" style="617" customWidth="1"/>
    <col min="6" max="6" width="21.1796875" style="954" customWidth="1"/>
    <col min="7" max="7" width="17.1796875" style="617" customWidth="1"/>
    <col min="8" max="8" width="21.26953125" style="634" customWidth="1"/>
    <col min="9" max="9" width="16.26953125" style="634" customWidth="1"/>
    <col min="10" max="10" width="14.54296875" style="617" customWidth="1"/>
    <col min="11" max="11" width="17.81640625" style="617" customWidth="1"/>
    <col min="12" max="12" width="14.81640625" style="618" customWidth="1"/>
    <col min="13" max="13" width="14.453125" style="618" customWidth="1"/>
    <col min="14" max="14" width="11.7265625" style="618" customWidth="1"/>
    <col min="15" max="15" width="15.1796875" style="618" customWidth="1"/>
    <col min="16" max="16" width="14.453125" style="618" customWidth="1"/>
    <col min="17" max="17" width="15.26953125" style="618" customWidth="1"/>
    <col min="18" max="18" width="13.453125" style="619" customWidth="1"/>
    <col min="19" max="19" width="12.453125" style="618" customWidth="1"/>
    <col min="20" max="20" width="8.81640625" style="618"/>
    <col min="21" max="21" width="12" style="618" customWidth="1"/>
    <col min="22" max="16384" width="8.81640625" style="617"/>
  </cols>
  <sheetData>
    <row r="1" spans="1:21" ht="51.75" customHeight="1" thickBot="1" x14ac:dyDescent="0.4">
      <c r="A1" s="1030" t="s">
        <v>117</v>
      </c>
      <c r="B1" s="1512" t="s">
        <v>929</v>
      </c>
      <c r="C1" s="1492"/>
      <c r="D1" s="1492"/>
      <c r="E1" s="1493"/>
      <c r="H1" s="1500" t="s">
        <v>318</v>
      </c>
      <c r="I1" s="1501"/>
      <c r="J1" s="1501"/>
      <c r="K1" s="1501"/>
      <c r="L1" s="1501"/>
      <c r="M1" s="1502"/>
    </row>
    <row r="2" spans="1:21" ht="34.5" customHeight="1" x14ac:dyDescent="0.35">
      <c r="A2" s="662"/>
      <c r="B2" s="633"/>
      <c r="H2" s="657" t="s">
        <v>319</v>
      </c>
      <c r="I2" s="658"/>
      <c r="J2" s="659" t="s">
        <v>320</v>
      </c>
      <c r="K2" s="1031"/>
      <c r="L2" s="659" t="s">
        <v>321</v>
      </c>
      <c r="M2" s="1032"/>
    </row>
    <row r="3" spans="1:21" ht="37" x14ac:dyDescent="0.35">
      <c r="A3" s="662"/>
      <c r="B3" s="615" t="s">
        <v>1825</v>
      </c>
      <c r="C3" s="634"/>
      <c r="D3" s="634"/>
      <c r="G3" s="618"/>
      <c r="H3" s="635"/>
      <c r="I3" s="635"/>
      <c r="J3" s="635"/>
      <c r="K3" s="635"/>
      <c r="L3" s="635"/>
      <c r="M3" s="635"/>
      <c r="Q3" s="617"/>
      <c r="R3" s="617"/>
      <c r="S3" s="617"/>
      <c r="T3" s="617"/>
      <c r="U3" s="617"/>
    </row>
    <row r="4" spans="1:21" ht="18.5" x14ac:dyDescent="0.35">
      <c r="A4" s="615" t="s">
        <v>137</v>
      </c>
      <c r="B4" s="663">
        <f>SUM(F13:F25)</f>
        <v>0</v>
      </c>
      <c r="C4" s="634"/>
      <c r="D4" s="634"/>
      <c r="H4" s="617"/>
      <c r="I4" s="617"/>
      <c r="L4" s="617"/>
      <c r="M4" s="617"/>
      <c r="N4" s="617"/>
      <c r="O4" s="617"/>
      <c r="P4" s="617"/>
      <c r="Q4" s="617"/>
      <c r="R4" s="617"/>
      <c r="S4" s="617"/>
      <c r="T4" s="617"/>
      <c r="U4" s="617"/>
    </row>
    <row r="5" spans="1:21" ht="18.5" x14ac:dyDescent="0.35">
      <c r="A5" s="615" t="s">
        <v>141</v>
      </c>
      <c r="B5" s="955">
        <f>SUM(F32:F34)</f>
        <v>0</v>
      </c>
      <c r="C5" s="719"/>
      <c r="D5" s="719"/>
      <c r="E5" s="719"/>
      <c r="F5" s="719"/>
      <c r="H5" s="617"/>
      <c r="I5" s="617"/>
      <c r="L5" s="617"/>
      <c r="M5" s="617"/>
      <c r="N5" s="617"/>
      <c r="O5" s="617"/>
      <c r="P5" s="617"/>
      <c r="Q5" s="617"/>
      <c r="R5" s="617"/>
      <c r="S5" s="617"/>
      <c r="T5" s="617"/>
      <c r="U5" s="617"/>
    </row>
    <row r="6" spans="1:21" ht="18.5" x14ac:dyDescent="0.35">
      <c r="A6" s="615" t="s">
        <v>835</v>
      </c>
      <c r="B6" s="999">
        <f>SUM(C41:C43)</f>
        <v>0</v>
      </c>
      <c r="C6" s="634"/>
      <c r="D6" s="634"/>
      <c r="H6" s="617"/>
      <c r="I6" s="617"/>
      <c r="L6" s="617"/>
      <c r="M6" s="617"/>
      <c r="N6" s="617"/>
      <c r="O6" s="617"/>
      <c r="P6" s="617"/>
      <c r="Q6" s="617"/>
      <c r="R6" s="617"/>
      <c r="S6" s="617"/>
      <c r="T6" s="617"/>
      <c r="U6" s="617"/>
    </row>
    <row r="7" spans="1:21" ht="18.5" x14ac:dyDescent="0.35">
      <c r="A7" s="615" t="s">
        <v>327</v>
      </c>
      <c r="B7" s="623">
        <f>SUM(B4:B6)</f>
        <v>0</v>
      </c>
      <c r="C7" s="634"/>
      <c r="D7" s="634"/>
      <c r="H7" s="617"/>
      <c r="I7" s="617"/>
      <c r="L7" s="617"/>
      <c r="M7" s="617"/>
      <c r="N7" s="617"/>
      <c r="O7" s="617"/>
      <c r="P7" s="617"/>
      <c r="Q7" s="617"/>
      <c r="R7" s="617"/>
      <c r="S7" s="617"/>
      <c r="T7" s="617"/>
      <c r="U7" s="617"/>
    </row>
    <row r="8" spans="1:21" x14ac:dyDescent="0.35">
      <c r="H8" s="617"/>
      <c r="I8" s="617"/>
      <c r="L8" s="617"/>
      <c r="M8" s="617"/>
      <c r="N8" s="617"/>
      <c r="O8" s="617"/>
      <c r="P8" s="617"/>
      <c r="Q8" s="617"/>
      <c r="R8" s="617"/>
      <c r="S8" s="617"/>
      <c r="T8" s="617"/>
      <c r="U8" s="617"/>
    </row>
    <row r="9" spans="1:21" s="664" customFormat="1" ht="36" x14ac:dyDescent="0.8">
      <c r="A9" s="1479" t="s">
        <v>930</v>
      </c>
      <c r="B9" s="1480"/>
      <c r="C9" s="1480"/>
      <c r="D9" s="1480"/>
      <c r="E9" s="1480"/>
      <c r="F9" s="1480"/>
      <c r="G9" s="1480"/>
      <c r="H9" s="1480"/>
      <c r="I9" s="1480"/>
      <c r="J9" s="1480"/>
      <c r="K9" s="1480"/>
      <c r="L9" s="1480"/>
      <c r="M9" s="1480"/>
      <c r="N9" s="1480"/>
      <c r="O9" s="1480"/>
      <c r="P9" s="1480"/>
      <c r="Q9" s="1481"/>
      <c r="R9" s="1052"/>
      <c r="S9" s="1033"/>
      <c r="T9" s="1033"/>
      <c r="U9" s="1033"/>
    </row>
    <row r="10" spans="1:21" x14ac:dyDescent="0.35">
      <c r="A10" s="845"/>
    </row>
    <row r="11" spans="1:21" s="667" customFormat="1" ht="24" thickBot="1" x14ac:dyDescent="0.6">
      <c r="A11" s="648"/>
      <c r="D11" s="1461" t="s">
        <v>330</v>
      </c>
      <c r="E11" s="1462"/>
      <c r="F11" s="1034"/>
      <c r="H11" s="851"/>
      <c r="I11" s="851"/>
      <c r="L11" s="1035"/>
      <c r="M11" s="1035"/>
      <c r="N11" s="1035"/>
      <c r="O11" s="1035"/>
      <c r="P11" s="1035"/>
      <c r="Q11" s="1035"/>
      <c r="R11" s="1036"/>
      <c r="S11" s="1035"/>
      <c r="T11" s="1035"/>
      <c r="U11" s="1035"/>
    </row>
    <row r="12" spans="1:21" s="618" customFormat="1" ht="74" x14ac:dyDescent="0.35">
      <c r="A12" s="615" t="s">
        <v>901</v>
      </c>
      <c r="B12" s="615" t="s">
        <v>931</v>
      </c>
      <c r="C12" s="615" t="s">
        <v>932</v>
      </c>
      <c r="D12" s="615" t="s">
        <v>933</v>
      </c>
      <c r="E12" s="615" t="s">
        <v>934</v>
      </c>
      <c r="F12" s="616" t="s">
        <v>372</v>
      </c>
    </row>
    <row r="13" spans="1:21" s="618" customFormat="1" x14ac:dyDescent="0.35">
      <c r="A13" s="628" t="s">
        <v>48</v>
      </c>
      <c r="B13" s="840"/>
      <c r="C13" s="840"/>
      <c r="D13" s="840"/>
      <c r="E13" s="663">
        <f>SUM(B13*C13*D13*2)</f>
        <v>0</v>
      </c>
      <c r="F13" s="624">
        <f>'Emission Factors'!D710*E13/1000</f>
        <v>0</v>
      </c>
    </row>
    <row r="14" spans="1:21" s="618" customFormat="1" x14ac:dyDescent="0.35">
      <c r="A14" s="628" t="s">
        <v>46</v>
      </c>
      <c r="B14" s="840"/>
      <c r="C14" s="840"/>
      <c r="D14" s="840"/>
      <c r="E14" s="663">
        <f t="shared" ref="E14:E24" si="0">SUM(B14*C14*D14*2)</f>
        <v>0</v>
      </c>
      <c r="F14" s="624">
        <f>'Emission Factors'!D711*E14/1000</f>
        <v>0</v>
      </c>
    </row>
    <row r="15" spans="1:21" s="618" customFormat="1" x14ac:dyDescent="0.35">
      <c r="A15" s="628" t="s">
        <v>904</v>
      </c>
      <c r="B15" s="840"/>
      <c r="C15" s="840"/>
      <c r="D15" s="840"/>
      <c r="E15" s="663">
        <f t="shared" si="0"/>
        <v>0</v>
      </c>
      <c r="F15" s="624">
        <f>'Emission Factors'!D712*E15/1000</f>
        <v>0</v>
      </c>
    </row>
    <row r="16" spans="1:21" s="618" customFormat="1" x14ac:dyDescent="0.35">
      <c r="A16" s="628" t="s">
        <v>905</v>
      </c>
      <c r="B16" s="840"/>
      <c r="C16" s="840"/>
      <c r="D16" s="840"/>
      <c r="E16" s="663">
        <f t="shared" si="0"/>
        <v>0</v>
      </c>
      <c r="F16" s="624">
        <f>'Emission Factors'!D713*E16/1000</f>
        <v>0</v>
      </c>
    </row>
    <row r="17" spans="1:22" s="618" customFormat="1" x14ac:dyDescent="0.35">
      <c r="A17" s="628" t="s">
        <v>906</v>
      </c>
      <c r="B17" s="840"/>
      <c r="C17" s="840"/>
      <c r="D17" s="840"/>
      <c r="E17" s="663">
        <f t="shared" si="0"/>
        <v>0</v>
      </c>
      <c r="F17" s="624">
        <f>'Emission Factors'!D714*E17/1000</f>
        <v>0</v>
      </c>
    </row>
    <row r="18" spans="1:22" s="618" customFormat="1" x14ac:dyDescent="0.35">
      <c r="A18" s="628" t="s">
        <v>907</v>
      </c>
      <c r="B18" s="840"/>
      <c r="C18" s="840"/>
      <c r="D18" s="840"/>
      <c r="E18" s="663">
        <f t="shared" si="0"/>
        <v>0</v>
      </c>
      <c r="F18" s="624">
        <f>'Emission Factors'!D715*E18/1000</f>
        <v>0</v>
      </c>
    </row>
    <row r="19" spans="1:22" s="618" customFormat="1" x14ac:dyDescent="0.35">
      <c r="A19" s="628" t="s">
        <v>908</v>
      </c>
      <c r="B19" s="840"/>
      <c r="C19" s="840"/>
      <c r="D19" s="840"/>
      <c r="E19" s="663">
        <f t="shared" si="0"/>
        <v>0</v>
      </c>
      <c r="F19" s="624">
        <f>'Emission Factors'!D716*E19/1000</f>
        <v>0</v>
      </c>
    </row>
    <row r="20" spans="1:22" s="618" customFormat="1" x14ac:dyDescent="0.35">
      <c r="A20" s="628" t="s">
        <v>909</v>
      </c>
      <c r="B20" s="840"/>
      <c r="C20" s="840"/>
      <c r="D20" s="840"/>
      <c r="E20" s="663">
        <f t="shared" si="0"/>
        <v>0</v>
      </c>
      <c r="F20" s="624">
        <f>'Emission Factors'!D717*E20/1000</f>
        <v>0</v>
      </c>
    </row>
    <row r="21" spans="1:22" s="618" customFormat="1" x14ac:dyDescent="0.35">
      <c r="A21" s="628" t="s">
        <v>910</v>
      </c>
      <c r="B21" s="840"/>
      <c r="C21" s="840"/>
      <c r="D21" s="840"/>
      <c r="E21" s="663">
        <f t="shared" si="0"/>
        <v>0</v>
      </c>
      <c r="F21" s="624">
        <f>'Emission Factors'!D718*E21/1000</f>
        <v>0</v>
      </c>
    </row>
    <row r="22" spans="1:22" s="618" customFormat="1" x14ac:dyDescent="0.35">
      <c r="A22" s="628" t="s">
        <v>1928</v>
      </c>
      <c r="B22" s="840"/>
      <c r="C22" s="840"/>
      <c r="D22" s="840"/>
      <c r="E22" s="663">
        <f t="shared" si="0"/>
        <v>0</v>
      </c>
      <c r="F22" s="624">
        <f>'Emission Factors'!D816*E22/1000</f>
        <v>0</v>
      </c>
    </row>
    <row r="23" spans="1:22" s="618" customFormat="1" x14ac:dyDescent="0.35">
      <c r="A23" s="628" t="s">
        <v>1929</v>
      </c>
      <c r="B23" s="840"/>
      <c r="C23" s="840"/>
      <c r="D23" s="840"/>
      <c r="E23" s="663">
        <f t="shared" si="0"/>
        <v>0</v>
      </c>
      <c r="F23" s="624">
        <f>'Emission Factors'!D817*E23/1000</f>
        <v>0</v>
      </c>
    </row>
    <row r="24" spans="1:22" s="618" customFormat="1" x14ac:dyDescent="0.35">
      <c r="A24" s="628" t="s">
        <v>1926</v>
      </c>
      <c r="B24" s="840"/>
      <c r="C24" s="840"/>
      <c r="D24" s="840"/>
      <c r="E24" s="663">
        <f t="shared" si="0"/>
        <v>0</v>
      </c>
      <c r="F24" s="624">
        <f>'Emission Factors'!D818*E24/1000</f>
        <v>0</v>
      </c>
    </row>
    <row r="25" spans="1:22" s="618" customFormat="1" x14ac:dyDescent="0.35">
      <c r="A25" s="628" t="s">
        <v>1927</v>
      </c>
      <c r="B25" s="840"/>
      <c r="C25" s="840"/>
      <c r="D25" s="840"/>
      <c r="E25" s="663">
        <f t="shared" ref="E25" si="1">SUM(B25*C25*D25*2)</f>
        <v>0</v>
      </c>
      <c r="F25" s="624">
        <f>'Emission Factors'!D819*E25/1000</f>
        <v>0</v>
      </c>
    </row>
    <row r="26" spans="1:22" x14ac:dyDescent="0.35">
      <c r="A26" s="693" t="s">
        <v>935</v>
      </c>
      <c r="F26" s="617"/>
      <c r="H26" s="617"/>
      <c r="I26" s="618"/>
      <c r="J26" s="618"/>
      <c r="K26" s="618"/>
      <c r="N26" s="619"/>
      <c r="R26" s="617"/>
      <c r="S26" s="617"/>
      <c r="T26" s="617"/>
      <c r="U26" s="617"/>
    </row>
    <row r="27" spans="1:22" s="618" customFormat="1" x14ac:dyDescent="0.35">
      <c r="A27" s="617"/>
      <c r="B27" s="617"/>
      <c r="C27" s="617"/>
    </row>
    <row r="28" spans="1:22" s="1033" customFormat="1" ht="36" x14ac:dyDescent="0.8">
      <c r="A28" s="1479" t="s">
        <v>936</v>
      </c>
      <c r="B28" s="1480"/>
      <c r="C28" s="1480"/>
      <c r="D28" s="1480"/>
      <c r="E28" s="1480"/>
      <c r="F28" s="1480"/>
      <c r="G28" s="1480"/>
      <c r="H28" s="1480"/>
      <c r="I28" s="1480"/>
      <c r="J28" s="1480"/>
      <c r="K28" s="1480"/>
      <c r="L28" s="1480"/>
      <c r="M28" s="1480"/>
      <c r="N28" s="1480"/>
      <c r="O28" s="1480"/>
      <c r="P28" s="1480"/>
      <c r="Q28" s="1481"/>
      <c r="R28" s="1052"/>
      <c r="V28" s="664"/>
    </row>
    <row r="29" spans="1:22" s="618" customFormat="1" x14ac:dyDescent="0.35">
      <c r="A29" s="845"/>
      <c r="B29" s="617"/>
      <c r="C29" s="617"/>
      <c r="D29" s="617"/>
      <c r="E29" s="617"/>
      <c r="F29" s="954"/>
      <c r="G29" s="617"/>
      <c r="H29" s="634"/>
      <c r="I29" s="634"/>
      <c r="J29" s="617"/>
      <c r="K29" s="617"/>
      <c r="R29" s="619"/>
      <c r="V29" s="617"/>
    </row>
    <row r="30" spans="1:22" s="1035" customFormat="1" ht="24" thickBot="1" x14ac:dyDescent="0.6">
      <c r="A30" s="648"/>
      <c r="B30" s="667"/>
      <c r="C30" s="667"/>
      <c r="D30" s="1461" t="s">
        <v>330</v>
      </c>
      <c r="E30" s="1462"/>
      <c r="F30" s="667"/>
      <c r="G30" s="851"/>
      <c r="H30" s="851"/>
      <c r="I30" s="667"/>
      <c r="J30" s="667"/>
      <c r="Q30" s="1036"/>
      <c r="U30" s="667"/>
    </row>
    <row r="31" spans="1:22" s="618" customFormat="1" ht="74" x14ac:dyDescent="0.35">
      <c r="A31" s="615" t="s">
        <v>901</v>
      </c>
      <c r="B31" s="615" t="s">
        <v>937</v>
      </c>
      <c r="C31" s="615" t="s">
        <v>932</v>
      </c>
      <c r="D31" s="615" t="s">
        <v>933</v>
      </c>
      <c r="E31" s="615" t="s">
        <v>938</v>
      </c>
      <c r="F31" s="616" t="s">
        <v>372</v>
      </c>
      <c r="J31" s="619"/>
      <c r="N31" s="617"/>
    </row>
    <row r="32" spans="1:22" s="618" customFormat="1" x14ac:dyDescent="0.35">
      <c r="A32" s="628" t="s">
        <v>926</v>
      </c>
      <c r="B32" s="840"/>
      <c r="C32" s="840"/>
      <c r="D32" s="840"/>
      <c r="E32" s="663">
        <f>SUM(B32*C32*D32*2)</f>
        <v>0</v>
      </c>
      <c r="F32" s="624">
        <f>'Emission Factors'!D749*E32/1000</f>
        <v>0</v>
      </c>
      <c r="J32" s="619"/>
      <c r="N32" s="617"/>
    </row>
    <row r="33" spans="1:22" s="618" customFormat="1" x14ac:dyDescent="0.35">
      <c r="A33" s="628" t="s">
        <v>927</v>
      </c>
      <c r="B33" s="840"/>
      <c r="C33" s="840"/>
      <c r="D33" s="840"/>
      <c r="E33" s="663">
        <f t="shared" ref="E33:E34" si="2">SUM(B33*C33*D33*2)</f>
        <v>0</v>
      </c>
      <c r="F33" s="624">
        <f>'Emission Factors'!D750*E33/1000</f>
        <v>0</v>
      </c>
      <c r="G33" s="617"/>
      <c r="H33" s="617"/>
      <c r="I33" s="617"/>
      <c r="J33" s="617"/>
      <c r="K33" s="617"/>
      <c r="Q33" s="619"/>
      <c r="U33" s="617"/>
    </row>
    <row r="34" spans="1:22" s="618" customFormat="1" ht="16" thickBot="1" x14ac:dyDescent="0.4">
      <c r="A34" s="628" t="s">
        <v>928</v>
      </c>
      <c r="B34" s="840"/>
      <c r="C34" s="840"/>
      <c r="D34" s="840"/>
      <c r="E34" s="663">
        <f t="shared" si="2"/>
        <v>0</v>
      </c>
      <c r="F34" s="1048">
        <f>'Emission Factors'!D751*E34/1000</f>
        <v>0</v>
      </c>
      <c r="G34" s="617"/>
      <c r="H34" s="617"/>
      <c r="I34" s="617"/>
      <c r="J34" s="617"/>
      <c r="K34" s="617"/>
      <c r="Q34" s="619"/>
      <c r="U34" s="617"/>
    </row>
    <row r="35" spans="1:22" s="618" customFormat="1" x14ac:dyDescent="0.35">
      <c r="A35" s="909" t="s">
        <v>925</v>
      </c>
      <c r="B35" s="617"/>
      <c r="C35" s="617"/>
      <c r="D35" s="617"/>
      <c r="E35" s="617"/>
      <c r="F35" s="617"/>
      <c r="G35" s="617"/>
      <c r="H35" s="617"/>
      <c r="I35" s="617"/>
      <c r="J35" s="617"/>
      <c r="K35" s="617"/>
      <c r="Q35" s="619"/>
      <c r="U35" s="617"/>
    </row>
    <row r="36" spans="1:22" s="618" customFormat="1" x14ac:dyDescent="0.35">
      <c r="A36" s="617"/>
      <c r="B36" s="617"/>
      <c r="C36" s="617"/>
      <c r="D36" s="617"/>
      <c r="E36" s="617"/>
      <c r="F36" s="617"/>
      <c r="G36" s="617"/>
      <c r="H36" s="617"/>
      <c r="I36" s="617"/>
      <c r="J36" s="617"/>
      <c r="K36" s="617"/>
      <c r="L36" s="617"/>
      <c r="R36" s="619"/>
      <c r="V36" s="617"/>
    </row>
    <row r="37" spans="1:22" s="1033" customFormat="1" ht="36" x14ac:dyDescent="0.8">
      <c r="A37" s="1479" t="s">
        <v>835</v>
      </c>
      <c r="B37" s="1480"/>
      <c r="C37" s="1480"/>
      <c r="D37" s="1480"/>
      <c r="E37" s="1480"/>
      <c r="F37" s="1480"/>
      <c r="G37" s="1480"/>
      <c r="H37" s="1480"/>
      <c r="I37" s="1480"/>
      <c r="J37" s="1480"/>
      <c r="K37" s="1480"/>
      <c r="L37" s="1480"/>
      <c r="M37" s="1480"/>
      <c r="N37" s="1480"/>
      <c r="O37" s="1480"/>
      <c r="P37" s="1480"/>
      <c r="Q37" s="1481"/>
      <c r="R37" s="1052"/>
      <c r="V37" s="664"/>
    </row>
    <row r="38" spans="1:22" s="618" customFormat="1" x14ac:dyDescent="0.35">
      <c r="A38" s="845"/>
      <c r="B38" s="617"/>
      <c r="C38" s="617"/>
      <c r="D38" s="617"/>
      <c r="E38" s="617"/>
      <c r="F38" s="954"/>
      <c r="G38" s="617"/>
      <c r="H38" s="634"/>
      <c r="I38" s="634"/>
      <c r="J38" s="617"/>
      <c r="K38" s="617"/>
      <c r="R38" s="619"/>
      <c r="V38" s="617"/>
    </row>
    <row r="39" spans="1:22" s="667" customFormat="1" ht="24" thickBot="1" x14ac:dyDescent="0.6">
      <c r="A39" s="648"/>
      <c r="B39" s="1525" t="s">
        <v>330</v>
      </c>
      <c r="C39" s="1526"/>
      <c r="E39" s="1046"/>
      <c r="G39" s="851"/>
      <c r="H39" s="851"/>
      <c r="K39" s="1035"/>
      <c r="L39" s="1035"/>
      <c r="M39" s="1035"/>
      <c r="N39" s="1035"/>
      <c r="O39" s="1035"/>
      <c r="P39" s="1035"/>
      <c r="Q39" s="1036"/>
      <c r="R39" s="1035"/>
      <c r="S39" s="1035"/>
      <c r="T39" s="1035"/>
    </row>
    <row r="40" spans="1:22" ht="37" x14ac:dyDescent="0.35">
      <c r="A40" s="615" t="s">
        <v>921</v>
      </c>
      <c r="B40" s="615" t="s">
        <v>902</v>
      </c>
      <c r="C40" s="616" t="s">
        <v>372</v>
      </c>
      <c r="D40" s="619"/>
      <c r="E40" s="619"/>
      <c r="F40" s="634"/>
      <c r="G40" s="618"/>
      <c r="J40" s="619"/>
      <c r="K40" s="618"/>
      <c r="N40" s="617"/>
      <c r="O40" s="617"/>
      <c r="P40" s="617"/>
      <c r="Q40" s="617"/>
      <c r="R40" s="617"/>
      <c r="S40" s="617"/>
      <c r="T40" s="617"/>
      <c r="U40" s="617"/>
    </row>
    <row r="41" spans="1:22" x14ac:dyDescent="0.35">
      <c r="A41" s="620" t="s">
        <v>922</v>
      </c>
      <c r="B41" s="621"/>
      <c r="C41" s="624">
        <f>B41*'Emission Factors'!$D$753/1000</f>
        <v>0</v>
      </c>
      <c r="D41" s="618"/>
      <c r="E41" s="618"/>
      <c r="F41" s="617"/>
      <c r="H41" s="617"/>
      <c r="I41" s="617"/>
      <c r="J41" s="619"/>
      <c r="K41" s="618"/>
      <c r="N41" s="617"/>
      <c r="O41" s="617"/>
      <c r="P41" s="617"/>
      <c r="Q41" s="617"/>
      <c r="R41" s="617"/>
      <c r="S41" s="617"/>
      <c r="T41" s="617"/>
      <c r="U41" s="617"/>
    </row>
    <row r="42" spans="1:22" x14ac:dyDescent="0.35">
      <c r="A42" s="620" t="s">
        <v>923</v>
      </c>
      <c r="B42" s="621"/>
      <c r="C42" s="624">
        <f>B42*'Emission Factors'!$D$754/1000</f>
        <v>0</v>
      </c>
      <c r="D42" s="618"/>
      <c r="E42" s="618"/>
      <c r="F42" s="617"/>
      <c r="H42" s="617"/>
      <c r="I42" s="617"/>
      <c r="J42" s="619"/>
      <c r="K42" s="618"/>
      <c r="N42" s="617"/>
      <c r="O42" s="617"/>
      <c r="P42" s="617"/>
      <c r="Q42" s="617"/>
      <c r="R42" s="617"/>
      <c r="S42" s="617"/>
      <c r="T42" s="617"/>
      <c r="U42" s="617"/>
    </row>
    <row r="43" spans="1:22" x14ac:dyDescent="0.35">
      <c r="A43" s="620" t="s">
        <v>924</v>
      </c>
      <c r="B43" s="621"/>
      <c r="C43" s="624">
        <f>B43*'Emission Factors'!$D$755/1000</f>
        <v>0</v>
      </c>
      <c r="D43" s="618"/>
      <c r="E43" s="618"/>
      <c r="F43" s="617"/>
      <c r="H43" s="617"/>
      <c r="I43" s="617"/>
      <c r="J43" s="619"/>
      <c r="K43" s="618"/>
      <c r="N43" s="617"/>
      <c r="O43" s="617"/>
      <c r="P43" s="617"/>
      <c r="Q43" s="617"/>
      <c r="R43" s="617"/>
      <c r="S43" s="617"/>
      <c r="T43" s="617"/>
      <c r="U43" s="617"/>
    </row>
    <row r="44" spans="1:22" x14ac:dyDescent="0.35">
      <c r="A44" s="909" t="s">
        <v>925</v>
      </c>
      <c r="B44" s="618"/>
      <c r="C44" s="618"/>
      <c r="D44" s="618"/>
      <c r="E44" s="618"/>
      <c r="F44" s="618"/>
      <c r="H44" s="617"/>
      <c r="I44" s="617"/>
      <c r="K44" s="619"/>
      <c r="O44" s="617"/>
      <c r="P44" s="617"/>
      <c r="Q44" s="617"/>
      <c r="R44" s="617"/>
      <c r="S44" s="617"/>
      <c r="T44" s="617"/>
      <c r="U44" s="617"/>
    </row>
    <row r="45" spans="1:22" s="618" customFormat="1" x14ac:dyDescent="0.35">
      <c r="A45" s="617"/>
      <c r="B45" s="617"/>
      <c r="C45" s="617"/>
      <c r="D45" s="617"/>
      <c r="E45" s="617"/>
      <c r="F45" s="617"/>
      <c r="G45" s="617"/>
      <c r="H45" s="617"/>
      <c r="I45" s="617"/>
      <c r="J45" s="617"/>
      <c r="K45" s="617"/>
      <c r="L45" s="617"/>
      <c r="R45" s="619"/>
      <c r="V45" s="617"/>
    </row>
    <row r="46" spans="1:22" s="618" customFormat="1" x14ac:dyDescent="0.35">
      <c r="A46" s="617"/>
      <c r="B46" s="617"/>
      <c r="C46" s="617"/>
      <c r="D46" s="617"/>
      <c r="E46" s="617"/>
      <c r="F46" s="617"/>
      <c r="G46" s="617"/>
      <c r="H46" s="617"/>
      <c r="I46" s="617"/>
      <c r="J46" s="617"/>
      <c r="K46" s="617"/>
      <c r="L46" s="617"/>
      <c r="R46" s="619"/>
      <c r="V46" s="617"/>
    </row>
    <row r="47" spans="1:22" s="618" customFormat="1" x14ac:dyDescent="0.35">
      <c r="A47" s="617"/>
      <c r="B47" s="617"/>
      <c r="C47" s="617"/>
      <c r="D47" s="617"/>
      <c r="E47" s="617"/>
      <c r="F47" s="617"/>
      <c r="G47" s="617"/>
      <c r="H47" s="617"/>
      <c r="I47" s="617"/>
      <c r="J47" s="617"/>
      <c r="K47" s="617"/>
      <c r="L47" s="617"/>
      <c r="R47" s="619"/>
      <c r="V47" s="617"/>
    </row>
    <row r="48" spans="1:22" s="618" customFormat="1" x14ac:dyDescent="0.35">
      <c r="A48" s="617"/>
      <c r="B48" s="617"/>
      <c r="C48" s="617"/>
      <c r="D48" s="617"/>
      <c r="E48" s="617"/>
      <c r="F48" s="617"/>
      <c r="G48" s="617"/>
      <c r="H48" s="617"/>
      <c r="I48" s="617"/>
      <c r="J48" s="617"/>
      <c r="K48" s="617"/>
      <c r="L48" s="617"/>
      <c r="R48" s="619"/>
      <c r="V48" s="617"/>
    </row>
    <row r="49" spans="1:22" s="618" customFormat="1" x14ac:dyDescent="0.35">
      <c r="A49" s="617"/>
      <c r="B49" s="617"/>
      <c r="C49" s="617"/>
      <c r="D49" s="617"/>
      <c r="E49" s="617"/>
      <c r="F49" s="617"/>
      <c r="G49" s="617"/>
      <c r="H49" s="617"/>
      <c r="I49" s="617"/>
      <c r="J49" s="617"/>
      <c r="K49" s="617"/>
      <c r="L49" s="617"/>
      <c r="R49" s="619"/>
      <c r="V49" s="617"/>
    </row>
    <row r="50" spans="1:22" s="618" customFormat="1" x14ac:dyDescent="0.35">
      <c r="A50" s="617"/>
      <c r="B50" s="617"/>
      <c r="C50" s="617"/>
      <c r="D50" s="617"/>
      <c r="E50" s="617"/>
      <c r="F50" s="617"/>
      <c r="G50" s="617"/>
      <c r="H50" s="617"/>
      <c r="I50" s="617"/>
      <c r="J50" s="617"/>
      <c r="K50" s="617"/>
      <c r="L50" s="617"/>
      <c r="R50" s="619"/>
      <c r="V50" s="617"/>
    </row>
    <row r="51" spans="1:22" s="618" customFormat="1" x14ac:dyDescent="0.35">
      <c r="A51" s="617"/>
      <c r="B51" s="617"/>
      <c r="C51" s="617"/>
      <c r="D51" s="617"/>
      <c r="E51" s="617"/>
      <c r="F51" s="617"/>
      <c r="G51" s="617"/>
      <c r="H51" s="617"/>
      <c r="I51" s="617"/>
      <c r="J51" s="617"/>
      <c r="K51" s="617"/>
      <c r="L51" s="617"/>
      <c r="R51" s="619"/>
      <c r="V51" s="617"/>
    </row>
    <row r="52" spans="1:22" s="618" customFormat="1" x14ac:dyDescent="0.35">
      <c r="A52" s="617"/>
      <c r="B52" s="617"/>
      <c r="C52" s="617"/>
      <c r="D52" s="617"/>
      <c r="E52" s="617"/>
      <c r="F52" s="617"/>
      <c r="G52" s="617"/>
      <c r="H52" s="617"/>
      <c r="I52" s="617"/>
      <c r="J52" s="617"/>
      <c r="K52" s="617"/>
      <c r="L52" s="617"/>
      <c r="R52" s="619"/>
      <c r="V52" s="617"/>
    </row>
    <row r="53" spans="1:22" s="618" customFormat="1" x14ac:dyDescent="0.35">
      <c r="A53" s="617"/>
      <c r="B53" s="617"/>
      <c r="C53" s="617"/>
      <c r="D53" s="617"/>
      <c r="E53" s="617"/>
      <c r="F53" s="617"/>
      <c r="G53" s="617"/>
      <c r="H53" s="617"/>
      <c r="I53" s="617"/>
      <c r="J53" s="617"/>
      <c r="K53" s="617"/>
      <c r="L53" s="617"/>
      <c r="R53" s="619"/>
      <c r="V53" s="617"/>
    </row>
    <row r="54" spans="1:22" s="618" customFormat="1" x14ac:dyDescent="0.35">
      <c r="A54" s="617"/>
      <c r="B54" s="617"/>
      <c r="C54" s="617"/>
      <c r="D54" s="617"/>
      <c r="E54" s="617"/>
      <c r="F54" s="617"/>
      <c r="G54" s="617"/>
      <c r="H54" s="617"/>
      <c r="I54" s="617"/>
      <c r="J54" s="617"/>
      <c r="K54" s="617"/>
      <c r="L54" s="617"/>
      <c r="R54" s="619"/>
      <c r="V54" s="617"/>
    </row>
    <row r="55" spans="1:22" s="618" customFormat="1" x14ac:dyDescent="0.35">
      <c r="A55" s="617"/>
      <c r="B55" s="617"/>
      <c r="C55" s="617"/>
      <c r="D55" s="617"/>
      <c r="E55" s="617"/>
      <c r="F55" s="617"/>
      <c r="G55" s="617"/>
      <c r="H55" s="617"/>
      <c r="I55" s="617"/>
      <c r="J55" s="617"/>
      <c r="K55" s="617"/>
      <c r="L55" s="617"/>
      <c r="R55" s="619"/>
      <c r="V55" s="617"/>
    </row>
    <row r="56" spans="1:22" s="618" customFormat="1" x14ac:dyDescent="0.35">
      <c r="A56" s="617"/>
      <c r="B56" s="617"/>
      <c r="C56" s="617"/>
      <c r="D56" s="617"/>
      <c r="E56" s="617"/>
      <c r="F56" s="617"/>
      <c r="G56" s="617"/>
      <c r="H56" s="617"/>
      <c r="I56" s="617"/>
      <c r="J56" s="617"/>
      <c r="K56" s="617"/>
      <c r="L56" s="617"/>
      <c r="R56" s="619"/>
      <c r="V56" s="617"/>
    </row>
    <row r="57" spans="1:22" s="618" customFormat="1" x14ac:dyDescent="0.35">
      <c r="A57" s="617"/>
      <c r="B57" s="617"/>
      <c r="C57" s="617"/>
      <c r="D57" s="617"/>
      <c r="E57" s="617"/>
      <c r="F57" s="617"/>
      <c r="G57" s="617"/>
      <c r="H57" s="617"/>
      <c r="I57" s="617"/>
      <c r="J57" s="617"/>
      <c r="K57" s="617"/>
      <c r="L57" s="617"/>
      <c r="R57" s="619"/>
      <c r="V57" s="617"/>
    </row>
    <row r="58" spans="1:22" s="618" customFormat="1" x14ac:dyDescent="0.35">
      <c r="A58" s="617"/>
      <c r="B58" s="617"/>
      <c r="C58" s="617"/>
      <c r="D58" s="617"/>
      <c r="E58" s="617"/>
      <c r="F58" s="617"/>
      <c r="G58" s="617"/>
      <c r="H58" s="617"/>
      <c r="I58" s="617"/>
      <c r="J58" s="617"/>
      <c r="K58" s="617"/>
      <c r="L58" s="617"/>
      <c r="R58" s="619"/>
      <c r="V58" s="617"/>
    </row>
    <row r="59" spans="1:22" s="618" customFormat="1" x14ac:dyDescent="0.35">
      <c r="A59" s="617"/>
      <c r="B59" s="617"/>
      <c r="C59" s="617"/>
      <c r="D59" s="617"/>
      <c r="E59" s="617"/>
      <c r="F59" s="617"/>
      <c r="G59" s="617"/>
      <c r="H59" s="617"/>
      <c r="I59" s="617"/>
      <c r="J59" s="617"/>
      <c r="K59" s="617"/>
      <c r="L59" s="617"/>
      <c r="R59" s="619"/>
      <c r="V59" s="617"/>
    </row>
    <row r="60" spans="1:22" s="618" customFormat="1" x14ac:dyDescent="0.35">
      <c r="A60" s="617"/>
      <c r="B60" s="617"/>
      <c r="C60" s="617"/>
      <c r="D60" s="617"/>
      <c r="E60" s="617"/>
      <c r="F60" s="617"/>
      <c r="G60" s="617"/>
      <c r="H60" s="617"/>
      <c r="I60" s="617"/>
      <c r="J60" s="617"/>
      <c r="K60" s="617"/>
      <c r="L60" s="617"/>
      <c r="R60" s="619"/>
      <c r="V60" s="617"/>
    </row>
    <row r="61" spans="1:22" s="618" customFormat="1" x14ac:dyDescent="0.35">
      <c r="A61" s="617"/>
      <c r="B61" s="617"/>
      <c r="C61" s="617"/>
      <c r="D61" s="617"/>
      <c r="E61" s="617"/>
      <c r="F61" s="617"/>
      <c r="G61" s="617"/>
      <c r="H61" s="617"/>
      <c r="I61" s="617"/>
      <c r="J61" s="617"/>
      <c r="K61" s="617"/>
      <c r="L61" s="617"/>
      <c r="R61" s="619"/>
      <c r="V61" s="617"/>
    </row>
    <row r="62" spans="1:22" s="618" customFormat="1" x14ac:dyDescent="0.35">
      <c r="A62" s="617"/>
      <c r="B62" s="617"/>
      <c r="C62" s="617"/>
      <c r="D62" s="617"/>
      <c r="E62" s="617"/>
      <c r="F62" s="617"/>
      <c r="G62" s="617"/>
      <c r="H62" s="617"/>
      <c r="I62" s="617"/>
      <c r="J62" s="617"/>
      <c r="K62" s="617"/>
      <c r="L62" s="617"/>
      <c r="R62" s="619"/>
      <c r="V62" s="617"/>
    </row>
    <row r="63" spans="1:22" s="618" customFormat="1" x14ac:dyDescent="0.35">
      <c r="A63" s="617"/>
      <c r="B63" s="617"/>
      <c r="C63" s="617"/>
      <c r="D63" s="617"/>
      <c r="E63" s="617"/>
      <c r="F63" s="617"/>
      <c r="G63" s="617"/>
      <c r="H63" s="617"/>
      <c r="I63" s="617"/>
      <c r="J63" s="617"/>
      <c r="K63" s="617"/>
      <c r="L63" s="617"/>
      <c r="R63" s="619"/>
      <c r="V63" s="617"/>
    </row>
    <row r="64" spans="1:22" s="618" customFormat="1" x14ac:dyDescent="0.35">
      <c r="A64" s="617"/>
      <c r="B64" s="617"/>
      <c r="C64" s="617"/>
      <c r="D64" s="617"/>
      <c r="E64" s="617"/>
      <c r="F64" s="617"/>
      <c r="G64" s="617"/>
      <c r="H64" s="617"/>
      <c r="I64" s="617"/>
      <c r="J64" s="617"/>
      <c r="K64" s="617"/>
      <c r="L64" s="617"/>
      <c r="R64" s="619"/>
      <c r="V64" s="617"/>
    </row>
    <row r="65" spans="1:22" s="618" customFormat="1" x14ac:dyDescent="0.35">
      <c r="A65" s="617"/>
      <c r="B65" s="617"/>
      <c r="C65" s="617"/>
      <c r="D65" s="617"/>
      <c r="E65" s="617"/>
      <c r="F65" s="617"/>
      <c r="G65" s="617"/>
      <c r="H65" s="617"/>
      <c r="I65" s="617"/>
      <c r="J65" s="617"/>
      <c r="K65" s="617"/>
      <c r="L65" s="617"/>
      <c r="R65" s="619"/>
      <c r="V65" s="617"/>
    </row>
    <row r="66" spans="1:22" s="618" customFormat="1" x14ac:dyDescent="0.35">
      <c r="A66" s="617"/>
      <c r="B66" s="617"/>
      <c r="C66" s="617"/>
      <c r="D66" s="617"/>
      <c r="E66" s="617"/>
      <c r="F66" s="617"/>
      <c r="G66" s="617"/>
      <c r="H66" s="617"/>
      <c r="I66" s="617"/>
      <c r="J66" s="617"/>
      <c r="K66" s="617"/>
      <c r="L66" s="617"/>
      <c r="R66" s="619"/>
      <c r="V66" s="617"/>
    </row>
    <row r="67" spans="1:22" s="618" customFormat="1" x14ac:dyDescent="0.35">
      <c r="A67" s="617"/>
      <c r="B67" s="617"/>
      <c r="C67" s="617"/>
      <c r="D67" s="617"/>
      <c r="E67" s="617"/>
      <c r="F67" s="617"/>
      <c r="G67" s="617"/>
      <c r="H67" s="617"/>
      <c r="I67" s="617"/>
      <c r="J67" s="617"/>
      <c r="K67" s="617"/>
      <c r="L67" s="617"/>
      <c r="R67" s="619"/>
      <c r="V67" s="617"/>
    </row>
    <row r="68" spans="1:22" s="618" customFormat="1" x14ac:dyDescent="0.35">
      <c r="A68" s="617"/>
      <c r="B68" s="617"/>
      <c r="C68" s="617"/>
      <c r="D68" s="617"/>
      <c r="E68" s="617"/>
      <c r="F68" s="617"/>
      <c r="G68" s="617"/>
      <c r="H68" s="617"/>
      <c r="I68" s="617"/>
      <c r="J68" s="617"/>
      <c r="K68" s="617"/>
      <c r="L68" s="617"/>
      <c r="R68" s="619"/>
      <c r="V68" s="617"/>
    </row>
    <row r="69" spans="1:22" s="618" customFormat="1" x14ac:dyDescent="0.35">
      <c r="A69" s="617"/>
      <c r="B69" s="617"/>
      <c r="C69" s="617"/>
      <c r="D69" s="617"/>
      <c r="E69" s="617"/>
      <c r="F69" s="617"/>
      <c r="G69" s="617"/>
      <c r="H69" s="617"/>
      <c r="I69" s="617"/>
      <c r="J69" s="617"/>
      <c r="K69" s="617"/>
      <c r="L69" s="617"/>
      <c r="R69" s="619"/>
      <c r="V69" s="617"/>
    </row>
    <row r="70" spans="1:22" s="618" customFormat="1" x14ac:dyDescent="0.35">
      <c r="A70" s="617"/>
      <c r="B70" s="617"/>
      <c r="C70" s="617"/>
      <c r="D70" s="617"/>
      <c r="E70" s="617"/>
      <c r="F70" s="617"/>
      <c r="G70" s="617"/>
      <c r="H70" s="617"/>
      <c r="I70" s="617"/>
      <c r="J70" s="617"/>
      <c r="K70" s="617"/>
      <c r="L70" s="617"/>
      <c r="R70" s="619"/>
      <c r="V70" s="617"/>
    </row>
    <row r="71" spans="1:22" s="618" customFormat="1" x14ac:dyDescent="0.35">
      <c r="A71" s="617"/>
      <c r="B71" s="617"/>
      <c r="C71" s="617"/>
      <c r="D71" s="617"/>
      <c r="E71" s="617"/>
      <c r="F71" s="617"/>
      <c r="G71" s="617"/>
      <c r="H71" s="617"/>
      <c r="I71" s="617"/>
      <c r="J71" s="617"/>
      <c r="K71" s="617"/>
      <c r="L71" s="617"/>
      <c r="R71" s="619"/>
      <c r="V71" s="617"/>
    </row>
    <row r="72" spans="1:22" s="618" customFormat="1" x14ac:dyDescent="0.35">
      <c r="A72" s="617"/>
      <c r="B72" s="617"/>
      <c r="C72" s="617"/>
      <c r="D72" s="617"/>
      <c r="E72" s="617"/>
      <c r="F72" s="617"/>
      <c r="G72" s="617"/>
      <c r="H72" s="617"/>
      <c r="I72" s="617"/>
      <c r="J72" s="617"/>
      <c r="K72" s="617"/>
      <c r="L72" s="617"/>
      <c r="R72" s="619"/>
      <c r="V72" s="617"/>
    </row>
    <row r="73" spans="1:22" s="618" customFormat="1" x14ac:dyDescent="0.35">
      <c r="A73" s="617"/>
      <c r="B73" s="617"/>
      <c r="C73" s="617"/>
      <c r="D73" s="617"/>
      <c r="E73" s="617"/>
      <c r="F73" s="617"/>
      <c r="G73" s="617"/>
      <c r="H73" s="617"/>
      <c r="I73" s="617"/>
      <c r="J73" s="617"/>
      <c r="K73" s="617"/>
      <c r="L73" s="617"/>
      <c r="R73" s="619"/>
      <c r="V73" s="617"/>
    </row>
    <row r="74" spans="1:22" s="618" customFormat="1" x14ac:dyDescent="0.35">
      <c r="A74" s="617"/>
      <c r="B74" s="617"/>
      <c r="C74" s="617"/>
      <c r="D74" s="617"/>
      <c r="E74" s="617"/>
      <c r="F74" s="617"/>
      <c r="G74" s="617"/>
      <c r="H74" s="617"/>
      <c r="I74" s="617"/>
      <c r="J74" s="617"/>
      <c r="K74" s="617"/>
      <c r="L74" s="617"/>
      <c r="R74" s="619"/>
      <c r="V74" s="617"/>
    </row>
    <row r="75" spans="1:22" s="618" customFormat="1" x14ac:dyDescent="0.35">
      <c r="A75" s="617"/>
      <c r="B75" s="617"/>
      <c r="C75" s="617"/>
      <c r="D75" s="617"/>
      <c r="E75" s="617"/>
      <c r="F75" s="617"/>
      <c r="G75" s="617"/>
      <c r="H75" s="617"/>
      <c r="I75" s="617"/>
      <c r="J75" s="617"/>
      <c r="K75" s="617"/>
      <c r="L75" s="617"/>
      <c r="R75" s="619"/>
      <c r="V75" s="617"/>
    </row>
    <row r="76" spans="1:22" s="618" customFormat="1" x14ac:dyDescent="0.35">
      <c r="A76" s="617"/>
      <c r="B76" s="617"/>
      <c r="C76" s="617"/>
      <c r="D76" s="617"/>
      <c r="E76" s="617"/>
      <c r="F76" s="617"/>
      <c r="G76" s="617"/>
      <c r="H76" s="617"/>
      <c r="I76" s="617"/>
      <c r="J76" s="617"/>
      <c r="K76" s="617"/>
      <c r="L76" s="617"/>
      <c r="R76" s="619"/>
      <c r="V76" s="617"/>
    </row>
    <row r="77" spans="1:22" s="618" customFormat="1" x14ac:dyDescent="0.35">
      <c r="A77" s="617"/>
      <c r="B77" s="617"/>
      <c r="C77" s="617"/>
      <c r="D77" s="617"/>
      <c r="E77" s="617"/>
      <c r="F77" s="617"/>
      <c r="G77" s="617"/>
      <c r="H77" s="617"/>
      <c r="I77" s="617"/>
      <c r="J77" s="617"/>
      <c r="K77" s="617"/>
      <c r="L77" s="617"/>
      <c r="R77" s="619"/>
      <c r="V77" s="617"/>
    </row>
    <row r="78" spans="1:22" s="618" customFormat="1" x14ac:dyDescent="0.35">
      <c r="A78" s="617"/>
      <c r="B78" s="617"/>
      <c r="C78" s="617"/>
      <c r="D78" s="617"/>
      <c r="E78" s="617"/>
      <c r="F78" s="617"/>
      <c r="G78" s="617"/>
      <c r="H78" s="617"/>
      <c r="I78" s="617"/>
      <c r="J78" s="617"/>
      <c r="K78" s="617"/>
      <c r="L78" s="617"/>
      <c r="R78" s="619"/>
      <c r="V78" s="617"/>
    </row>
    <row r="79" spans="1:22" s="618" customFormat="1" x14ac:dyDescent="0.35">
      <c r="A79" s="617"/>
      <c r="B79" s="617"/>
      <c r="C79" s="617"/>
      <c r="D79" s="617"/>
      <c r="E79" s="617"/>
      <c r="F79" s="617"/>
      <c r="G79" s="617"/>
      <c r="H79" s="617"/>
      <c r="I79" s="617"/>
      <c r="J79" s="617"/>
      <c r="K79" s="617"/>
      <c r="L79" s="617"/>
      <c r="R79" s="619"/>
      <c r="V79" s="617"/>
    </row>
    <row r="80" spans="1:22" s="618" customFormat="1" x14ac:dyDescent="0.35">
      <c r="A80" s="617"/>
      <c r="B80" s="617"/>
      <c r="C80" s="617"/>
      <c r="D80" s="617"/>
      <c r="E80" s="617"/>
      <c r="F80" s="617"/>
      <c r="G80" s="617"/>
      <c r="H80" s="617"/>
      <c r="I80" s="617"/>
      <c r="J80" s="617"/>
      <c r="K80" s="617"/>
      <c r="L80" s="617"/>
      <c r="R80" s="619"/>
      <c r="V80" s="617"/>
    </row>
    <row r="81" spans="1:22" s="618" customFormat="1" x14ac:dyDescent="0.35">
      <c r="A81" s="617"/>
      <c r="B81" s="617"/>
      <c r="C81" s="617"/>
      <c r="D81" s="617"/>
      <c r="E81" s="617"/>
      <c r="F81" s="617"/>
      <c r="G81" s="617"/>
      <c r="H81" s="617"/>
      <c r="I81" s="617"/>
      <c r="J81" s="617"/>
      <c r="K81" s="617"/>
      <c r="L81" s="617"/>
      <c r="R81" s="619"/>
      <c r="V81" s="617"/>
    </row>
    <row r="82" spans="1:22" s="618" customFormat="1" x14ac:dyDescent="0.35">
      <c r="A82" s="617"/>
      <c r="B82" s="617"/>
      <c r="C82" s="617"/>
      <c r="D82" s="617"/>
      <c r="E82" s="617"/>
      <c r="F82" s="617"/>
      <c r="G82" s="617"/>
      <c r="H82" s="617"/>
      <c r="I82" s="617"/>
      <c r="J82" s="617"/>
      <c r="K82" s="617"/>
      <c r="L82" s="617"/>
      <c r="R82" s="619"/>
      <c r="V82" s="617"/>
    </row>
    <row r="83" spans="1:22" s="618" customFormat="1" x14ac:dyDescent="0.35">
      <c r="A83" s="617"/>
      <c r="B83" s="617"/>
      <c r="C83" s="617"/>
      <c r="D83" s="617"/>
      <c r="E83" s="617"/>
      <c r="F83" s="617"/>
      <c r="G83" s="617"/>
      <c r="H83" s="617"/>
      <c r="I83" s="617"/>
      <c r="J83" s="617"/>
      <c r="K83" s="617"/>
      <c r="L83" s="617"/>
      <c r="R83" s="619"/>
      <c r="V83" s="617"/>
    </row>
    <row r="84" spans="1:22" s="618" customFormat="1" x14ac:dyDescent="0.35">
      <c r="A84" s="617"/>
      <c r="B84" s="617"/>
      <c r="C84" s="617"/>
      <c r="D84" s="617"/>
      <c r="E84" s="617"/>
      <c r="F84" s="617"/>
      <c r="G84" s="617"/>
      <c r="H84" s="617"/>
      <c r="I84" s="617"/>
      <c r="J84" s="617"/>
      <c r="K84" s="617"/>
      <c r="L84" s="617"/>
      <c r="R84" s="619"/>
      <c r="V84" s="617"/>
    </row>
    <row r="85" spans="1:22" s="618" customFormat="1" x14ac:dyDescent="0.35">
      <c r="A85" s="617"/>
      <c r="B85" s="617"/>
      <c r="C85" s="617"/>
      <c r="D85" s="617"/>
      <c r="E85" s="617"/>
      <c r="F85" s="617"/>
      <c r="G85" s="617"/>
      <c r="H85" s="617"/>
      <c r="I85" s="617"/>
      <c r="J85" s="617"/>
      <c r="K85" s="617"/>
      <c r="L85" s="617"/>
      <c r="R85" s="619"/>
      <c r="V85" s="617"/>
    </row>
    <row r="86" spans="1:22" s="618" customFormat="1" x14ac:dyDescent="0.35">
      <c r="A86" s="617"/>
      <c r="B86" s="617"/>
      <c r="C86" s="617"/>
      <c r="D86" s="617"/>
      <c r="E86" s="617"/>
      <c r="F86" s="617"/>
      <c r="G86" s="617"/>
      <c r="H86" s="617"/>
      <c r="I86" s="617"/>
      <c r="J86" s="617"/>
      <c r="K86" s="617"/>
      <c r="L86" s="617"/>
      <c r="R86" s="619"/>
      <c r="V86" s="617"/>
    </row>
    <row r="87" spans="1:22" s="618" customFormat="1" x14ac:dyDescent="0.35">
      <c r="A87" s="617"/>
      <c r="B87" s="617"/>
      <c r="C87" s="617"/>
      <c r="D87" s="617"/>
      <c r="E87" s="617"/>
      <c r="F87" s="617"/>
      <c r="G87" s="617"/>
      <c r="H87" s="617"/>
      <c r="I87" s="617"/>
      <c r="J87" s="617"/>
      <c r="K87" s="617"/>
      <c r="L87" s="617"/>
      <c r="R87" s="619"/>
      <c r="V87" s="617"/>
    </row>
    <row r="88" spans="1:22" s="618" customFormat="1" x14ac:dyDescent="0.35">
      <c r="A88" s="617"/>
      <c r="B88" s="617"/>
      <c r="C88" s="617"/>
      <c r="D88" s="617"/>
      <c r="E88" s="617"/>
      <c r="F88" s="617"/>
      <c r="G88" s="617"/>
      <c r="H88" s="617"/>
      <c r="I88" s="617"/>
      <c r="J88" s="617"/>
      <c r="K88" s="617"/>
      <c r="L88" s="617"/>
      <c r="R88" s="619"/>
      <c r="V88" s="617"/>
    </row>
    <row r="89" spans="1:22" s="618" customFormat="1" x14ac:dyDescent="0.35">
      <c r="A89" s="617"/>
      <c r="B89" s="617"/>
      <c r="C89" s="617"/>
      <c r="D89" s="617"/>
      <c r="E89" s="617"/>
      <c r="F89" s="617"/>
      <c r="G89" s="617"/>
      <c r="H89" s="617"/>
      <c r="I89" s="617"/>
      <c r="J89" s="617"/>
      <c r="K89" s="617"/>
      <c r="L89" s="617"/>
      <c r="R89" s="619"/>
      <c r="V89" s="617"/>
    </row>
    <row r="90" spans="1:22" s="618" customFormat="1" x14ac:dyDescent="0.35">
      <c r="A90" s="617"/>
      <c r="B90" s="617"/>
      <c r="C90" s="617"/>
      <c r="D90" s="617"/>
      <c r="E90" s="617"/>
      <c r="F90" s="617"/>
      <c r="G90" s="617"/>
      <c r="H90" s="617"/>
      <c r="I90" s="617"/>
      <c r="J90" s="617"/>
      <c r="K90" s="617"/>
      <c r="L90" s="617"/>
      <c r="R90" s="619"/>
      <c r="V90" s="617"/>
    </row>
    <row r="91" spans="1:22" s="618" customFormat="1" x14ac:dyDescent="0.35">
      <c r="A91" s="617"/>
      <c r="B91" s="617"/>
      <c r="C91" s="617"/>
      <c r="D91" s="617"/>
      <c r="E91" s="617"/>
      <c r="F91" s="617"/>
      <c r="G91" s="617"/>
      <c r="H91" s="617"/>
      <c r="I91" s="617"/>
      <c r="J91" s="617"/>
      <c r="K91" s="617"/>
      <c r="L91" s="617"/>
      <c r="R91" s="619"/>
      <c r="V91" s="617"/>
    </row>
    <row r="92" spans="1:22" s="618" customFormat="1" x14ac:dyDescent="0.35">
      <c r="A92" s="617"/>
      <c r="B92" s="617"/>
      <c r="C92" s="617"/>
      <c r="D92" s="617"/>
      <c r="E92" s="617"/>
      <c r="F92" s="617"/>
      <c r="G92" s="617"/>
      <c r="H92" s="617"/>
      <c r="I92" s="617"/>
      <c r="J92" s="617"/>
      <c r="K92" s="617"/>
      <c r="L92" s="617"/>
      <c r="R92" s="619"/>
      <c r="V92" s="617"/>
    </row>
    <row r="93" spans="1:22" s="618" customFormat="1" x14ac:dyDescent="0.35">
      <c r="A93" s="617"/>
      <c r="B93" s="617"/>
      <c r="C93" s="617"/>
      <c r="D93" s="617"/>
      <c r="E93" s="617"/>
      <c r="F93" s="617"/>
      <c r="G93" s="617"/>
      <c r="H93" s="617"/>
      <c r="I93" s="617"/>
      <c r="J93" s="617"/>
      <c r="K93" s="617"/>
      <c r="L93" s="617"/>
      <c r="R93" s="619"/>
      <c r="V93" s="617"/>
    </row>
    <row r="94" spans="1:22" s="618" customFormat="1" x14ac:dyDescent="0.35">
      <c r="A94" s="617"/>
      <c r="B94" s="617"/>
      <c r="C94" s="617"/>
      <c r="D94" s="617"/>
      <c r="E94" s="617"/>
      <c r="F94" s="617"/>
      <c r="G94" s="617"/>
      <c r="H94" s="617"/>
      <c r="I94" s="617"/>
      <c r="J94" s="617"/>
      <c r="K94" s="617"/>
      <c r="L94" s="617"/>
      <c r="R94" s="619"/>
      <c r="V94" s="617"/>
    </row>
    <row r="95" spans="1:22" s="618" customFormat="1" x14ac:dyDescent="0.35">
      <c r="A95" s="617"/>
      <c r="B95" s="617"/>
      <c r="C95" s="617"/>
      <c r="D95" s="617"/>
      <c r="E95" s="617"/>
      <c r="F95" s="617"/>
      <c r="G95" s="617"/>
      <c r="H95" s="617"/>
      <c r="I95" s="617"/>
      <c r="J95" s="617"/>
      <c r="K95" s="617"/>
      <c r="L95" s="617"/>
      <c r="R95" s="619"/>
      <c r="V95" s="617"/>
    </row>
    <row r="96" spans="1:22" s="618" customFormat="1" x14ac:dyDescent="0.35">
      <c r="A96" s="617"/>
      <c r="B96" s="617"/>
      <c r="C96" s="617"/>
      <c r="D96" s="617"/>
      <c r="E96" s="617"/>
      <c r="F96" s="617"/>
      <c r="G96" s="617"/>
      <c r="H96" s="617"/>
      <c r="I96" s="617"/>
      <c r="J96" s="617"/>
      <c r="K96" s="617"/>
      <c r="L96" s="617"/>
      <c r="R96" s="619"/>
      <c r="V96" s="617"/>
    </row>
    <row r="97" spans="1:22" s="618" customFormat="1" x14ac:dyDescent="0.35">
      <c r="A97" s="617"/>
      <c r="B97" s="617"/>
      <c r="C97" s="617"/>
      <c r="D97" s="617"/>
      <c r="E97" s="617"/>
      <c r="F97" s="617"/>
      <c r="G97" s="617"/>
      <c r="H97" s="617"/>
      <c r="I97" s="617"/>
      <c r="J97" s="617"/>
      <c r="K97" s="617"/>
      <c r="L97" s="617"/>
      <c r="R97" s="619"/>
      <c r="V97" s="617"/>
    </row>
    <row r="98" spans="1:22" s="618" customFormat="1" x14ac:dyDescent="0.35">
      <c r="A98" s="617"/>
      <c r="B98" s="617"/>
      <c r="C98" s="617"/>
      <c r="D98" s="617"/>
      <c r="E98" s="617"/>
      <c r="F98" s="617"/>
      <c r="G98" s="617"/>
      <c r="H98" s="617"/>
      <c r="I98" s="617"/>
      <c r="J98" s="617"/>
      <c r="K98" s="617"/>
      <c r="L98" s="617"/>
      <c r="R98" s="619"/>
      <c r="V98" s="617"/>
    </row>
    <row r="99" spans="1:22" s="618" customFormat="1" x14ac:dyDescent="0.35">
      <c r="A99" s="617"/>
      <c r="B99" s="617"/>
      <c r="C99" s="617"/>
      <c r="D99" s="617"/>
      <c r="E99" s="617"/>
      <c r="F99" s="617"/>
      <c r="G99" s="617"/>
      <c r="H99" s="617"/>
      <c r="I99" s="617"/>
      <c r="J99" s="617"/>
      <c r="K99" s="617"/>
      <c r="L99" s="617"/>
      <c r="R99" s="619"/>
      <c r="V99" s="617"/>
    </row>
    <row r="100" spans="1:22" s="618" customFormat="1" x14ac:dyDescent="0.35">
      <c r="A100" s="617"/>
      <c r="B100" s="617"/>
      <c r="C100" s="617"/>
      <c r="D100" s="617"/>
      <c r="E100" s="617"/>
      <c r="F100" s="617"/>
      <c r="G100" s="617"/>
      <c r="H100" s="617"/>
      <c r="I100" s="617"/>
      <c r="J100" s="617"/>
      <c r="K100" s="617"/>
      <c r="L100" s="617"/>
      <c r="R100" s="619"/>
      <c r="V100" s="617"/>
    </row>
    <row r="101" spans="1:22" s="618" customFormat="1" x14ac:dyDescent="0.35">
      <c r="A101" s="617"/>
      <c r="B101" s="617"/>
      <c r="C101" s="617"/>
      <c r="D101" s="617"/>
      <c r="E101" s="617"/>
      <c r="F101" s="617"/>
      <c r="G101" s="617"/>
      <c r="H101" s="617"/>
      <c r="I101" s="617"/>
      <c r="J101" s="617"/>
      <c r="K101" s="617"/>
      <c r="L101" s="617"/>
      <c r="R101" s="619"/>
      <c r="V101" s="617"/>
    </row>
    <row r="102" spans="1:22" s="618" customFormat="1" x14ac:dyDescent="0.35">
      <c r="A102" s="617"/>
      <c r="B102" s="617"/>
      <c r="C102" s="617"/>
      <c r="D102" s="617"/>
      <c r="E102" s="617"/>
      <c r="F102" s="617"/>
      <c r="G102" s="617"/>
      <c r="H102" s="617"/>
      <c r="I102" s="617"/>
      <c r="J102" s="617"/>
      <c r="K102" s="617"/>
      <c r="L102" s="617"/>
      <c r="R102" s="619"/>
      <c r="V102" s="617"/>
    </row>
    <row r="103" spans="1:22" s="618" customFormat="1" x14ac:dyDescent="0.35">
      <c r="A103" s="617"/>
      <c r="B103" s="617"/>
      <c r="C103" s="617"/>
      <c r="D103" s="617"/>
      <c r="E103" s="617"/>
      <c r="F103" s="617"/>
      <c r="G103" s="617"/>
      <c r="H103" s="617"/>
      <c r="I103" s="617"/>
      <c r="J103" s="617"/>
      <c r="K103" s="617"/>
      <c r="L103" s="617"/>
      <c r="R103" s="619"/>
      <c r="V103" s="617"/>
    </row>
    <row r="104" spans="1:22" s="618" customFormat="1" x14ac:dyDescent="0.35">
      <c r="A104" s="617"/>
      <c r="B104" s="617"/>
      <c r="C104" s="617"/>
      <c r="D104" s="617"/>
      <c r="E104" s="617"/>
      <c r="F104" s="617"/>
      <c r="G104" s="617"/>
      <c r="H104" s="617"/>
      <c r="I104" s="617"/>
      <c r="J104" s="617"/>
      <c r="K104" s="617"/>
      <c r="L104" s="617"/>
      <c r="R104" s="619"/>
      <c r="V104" s="617"/>
    </row>
    <row r="105" spans="1:22" s="618" customFormat="1" x14ac:dyDescent="0.35">
      <c r="A105" s="617"/>
      <c r="B105" s="617"/>
      <c r="C105" s="617"/>
      <c r="D105" s="617"/>
      <c r="E105" s="617"/>
      <c r="F105" s="617"/>
      <c r="G105" s="617"/>
      <c r="H105" s="617"/>
      <c r="I105" s="617"/>
      <c r="J105" s="617"/>
      <c r="K105" s="617"/>
      <c r="L105" s="617"/>
      <c r="R105" s="619"/>
      <c r="V105" s="617"/>
    </row>
    <row r="106" spans="1:22" s="618" customFormat="1" x14ac:dyDescent="0.35">
      <c r="A106" s="617"/>
      <c r="B106" s="617"/>
      <c r="C106" s="617"/>
      <c r="D106" s="617"/>
      <c r="E106" s="617"/>
      <c r="F106" s="617"/>
      <c r="G106" s="617"/>
      <c r="H106" s="617"/>
      <c r="I106" s="617"/>
      <c r="J106" s="617"/>
      <c r="K106" s="617"/>
      <c r="L106" s="617"/>
      <c r="R106" s="619"/>
      <c r="V106" s="617"/>
    </row>
    <row r="107" spans="1:22" s="618" customFormat="1" x14ac:dyDescent="0.35">
      <c r="A107" s="617"/>
      <c r="B107" s="617"/>
      <c r="C107" s="617"/>
      <c r="D107" s="617"/>
      <c r="E107" s="617"/>
      <c r="F107" s="617"/>
      <c r="G107" s="617"/>
      <c r="H107" s="617"/>
      <c r="I107" s="617"/>
      <c r="J107" s="617"/>
      <c r="K107" s="617"/>
      <c r="L107" s="617"/>
      <c r="R107" s="619"/>
      <c r="V107" s="617"/>
    </row>
    <row r="108" spans="1:22" s="618" customFormat="1" x14ac:dyDescent="0.35">
      <c r="A108" s="617"/>
      <c r="B108" s="617"/>
      <c r="C108" s="617"/>
      <c r="D108" s="617"/>
      <c r="E108" s="617"/>
      <c r="F108" s="617"/>
      <c r="G108" s="617"/>
      <c r="H108" s="617"/>
      <c r="I108" s="617"/>
      <c r="J108" s="617"/>
      <c r="K108" s="617"/>
      <c r="L108" s="617"/>
      <c r="R108" s="619"/>
      <c r="V108" s="617"/>
    </row>
    <row r="109" spans="1:22" s="618" customFormat="1" x14ac:dyDescent="0.35">
      <c r="A109" s="617"/>
      <c r="B109" s="617"/>
      <c r="C109" s="617"/>
      <c r="D109" s="617"/>
      <c r="E109" s="617"/>
      <c r="F109" s="617"/>
      <c r="G109" s="617"/>
      <c r="H109" s="617"/>
      <c r="I109" s="617"/>
      <c r="J109" s="617"/>
      <c r="K109" s="617"/>
      <c r="L109" s="617"/>
      <c r="R109" s="619"/>
      <c r="V109" s="617"/>
    </row>
    <row r="110" spans="1:22" s="618" customFormat="1" x14ac:dyDescent="0.35">
      <c r="A110" s="617"/>
      <c r="B110" s="617"/>
      <c r="C110" s="617"/>
      <c r="D110" s="617"/>
      <c r="E110" s="617"/>
      <c r="F110" s="617"/>
      <c r="G110" s="617"/>
      <c r="H110" s="617"/>
      <c r="I110" s="617"/>
      <c r="J110" s="617"/>
      <c r="K110" s="617"/>
      <c r="L110" s="617"/>
      <c r="R110" s="619"/>
      <c r="V110" s="617"/>
    </row>
    <row r="111" spans="1:22" s="618" customFormat="1" x14ac:dyDescent="0.35">
      <c r="A111" s="617"/>
      <c r="B111" s="617"/>
      <c r="C111" s="617"/>
      <c r="D111" s="617"/>
      <c r="E111" s="617"/>
      <c r="F111" s="617"/>
      <c r="G111" s="617"/>
      <c r="H111" s="617"/>
      <c r="I111" s="617"/>
      <c r="J111" s="617"/>
      <c r="K111" s="617"/>
      <c r="L111" s="617"/>
      <c r="R111" s="619"/>
      <c r="V111" s="617"/>
    </row>
    <row r="112" spans="1:22" s="618" customFormat="1" x14ac:dyDescent="0.35">
      <c r="A112" s="617"/>
      <c r="B112" s="617"/>
      <c r="C112" s="617"/>
      <c r="D112" s="617"/>
      <c r="E112" s="617"/>
      <c r="F112" s="617"/>
      <c r="G112" s="617"/>
      <c r="H112" s="617"/>
      <c r="I112" s="617"/>
      <c r="J112" s="617"/>
      <c r="K112" s="617"/>
      <c r="L112" s="617"/>
      <c r="R112" s="619"/>
      <c r="V112" s="617"/>
    </row>
    <row r="113" spans="1:22" s="618" customFormat="1" x14ac:dyDescent="0.35">
      <c r="A113" s="617"/>
      <c r="B113" s="617"/>
      <c r="C113" s="617"/>
      <c r="D113" s="617"/>
      <c r="E113" s="617"/>
      <c r="F113" s="617"/>
      <c r="G113" s="617"/>
      <c r="H113" s="617"/>
      <c r="I113" s="617"/>
      <c r="J113" s="617"/>
      <c r="K113" s="617"/>
      <c r="L113" s="617"/>
      <c r="R113" s="619"/>
      <c r="V113" s="617"/>
    </row>
    <row r="114" spans="1:22" s="618" customFormat="1" x14ac:dyDescent="0.35">
      <c r="A114" s="617"/>
      <c r="B114" s="617"/>
      <c r="C114" s="617"/>
      <c r="D114" s="617"/>
      <c r="E114" s="617"/>
      <c r="F114" s="617"/>
      <c r="G114" s="617"/>
      <c r="H114" s="617"/>
      <c r="I114" s="617"/>
      <c r="J114" s="617"/>
      <c r="K114" s="617"/>
      <c r="L114" s="617"/>
      <c r="R114" s="619"/>
      <c r="V114" s="617"/>
    </row>
    <row r="115" spans="1:22" s="618" customFormat="1" x14ac:dyDescent="0.35">
      <c r="A115" s="617"/>
      <c r="B115" s="617"/>
      <c r="C115" s="617"/>
      <c r="D115" s="617"/>
      <c r="E115" s="617"/>
      <c r="F115" s="617"/>
      <c r="G115" s="617"/>
      <c r="H115" s="617"/>
      <c r="I115" s="617"/>
      <c r="J115" s="617"/>
      <c r="K115" s="617"/>
      <c r="L115" s="617"/>
      <c r="R115" s="619"/>
      <c r="V115" s="617"/>
    </row>
    <row r="116" spans="1:22" s="618" customFormat="1" x14ac:dyDescent="0.35">
      <c r="A116" s="617"/>
      <c r="B116" s="617"/>
      <c r="C116" s="617"/>
      <c r="D116" s="617"/>
      <c r="E116" s="617"/>
      <c r="F116" s="617"/>
      <c r="G116" s="617"/>
      <c r="H116" s="617"/>
      <c r="I116" s="617"/>
      <c r="J116" s="617"/>
      <c r="K116" s="617"/>
      <c r="L116" s="617"/>
      <c r="R116" s="619"/>
      <c r="V116" s="617"/>
    </row>
    <row r="117" spans="1:22" s="618" customFormat="1" x14ac:dyDescent="0.35">
      <c r="A117" s="617"/>
      <c r="B117" s="617"/>
      <c r="C117" s="617"/>
      <c r="D117" s="617"/>
      <c r="E117" s="617"/>
      <c r="F117" s="617"/>
      <c r="G117" s="617"/>
      <c r="H117" s="617"/>
      <c r="I117" s="617"/>
      <c r="J117" s="617"/>
      <c r="K117" s="617"/>
      <c r="L117" s="617"/>
      <c r="R117" s="619"/>
      <c r="V117" s="617"/>
    </row>
    <row r="118" spans="1:22" s="618" customFormat="1" x14ac:dyDescent="0.35">
      <c r="A118" s="617"/>
      <c r="B118" s="617"/>
      <c r="C118" s="617"/>
      <c r="D118" s="617"/>
      <c r="E118" s="617"/>
      <c r="F118" s="617"/>
      <c r="G118" s="617"/>
      <c r="H118" s="617"/>
      <c r="I118" s="617"/>
      <c r="J118" s="617"/>
      <c r="K118" s="617"/>
      <c r="L118" s="617"/>
      <c r="R118" s="619"/>
      <c r="V118" s="617"/>
    </row>
    <row r="119" spans="1:22" s="618" customFormat="1" x14ac:dyDescent="0.35">
      <c r="A119" s="617"/>
      <c r="B119" s="617"/>
      <c r="C119" s="617"/>
      <c r="D119" s="617"/>
      <c r="E119" s="617"/>
      <c r="F119" s="617"/>
      <c r="G119" s="617"/>
      <c r="H119" s="617"/>
      <c r="I119" s="617"/>
      <c r="J119" s="617"/>
      <c r="K119" s="617"/>
      <c r="L119" s="617"/>
      <c r="R119" s="619"/>
      <c r="V119" s="617"/>
    </row>
    <row r="120" spans="1:22" s="618" customFormat="1" x14ac:dyDescent="0.35">
      <c r="A120" s="617"/>
      <c r="B120" s="617"/>
      <c r="C120" s="617"/>
      <c r="D120" s="617"/>
      <c r="E120" s="617"/>
      <c r="F120" s="617"/>
      <c r="G120" s="617"/>
      <c r="H120" s="617"/>
      <c r="I120" s="617"/>
      <c r="J120" s="617"/>
      <c r="K120" s="617"/>
      <c r="L120" s="617"/>
      <c r="R120" s="619"/>
      <c r="V120" s="617"/>
    </row>
    <row r="121" spans="1:22" s="618" customFormat="1" x14ac:dyDescent="0.35">
      <c r="A121" s="617"/>
      <c r="B121" s="617"/>
      <c r="C121" s="617"/>
      <c r="D121" s="617"/>
      <c r="E121" s="617"/>
      <c r="F121" s="617"/>
      <c r="G121" s="617"/>
      <c r="H121" s="617"/>
      <c r="I121" s="617"/>
      <c r="J121" s="617"/>
      <c r="K121" s="617"/>
      <c r="L121" s="617"/>
      <c r="R121" s="619"/>
      <c r="V121" s="617"/>
    </row>
    <row r="122" spans="1:22" s="618" customFormat="1" x14ac:dyDescent="0.35">
      <c r="A122" s="617"/>
      <c r="B122" s="617"/>
      <c r="C122" s="617"/>
      <c r="D122" s="617"/>
      <c r="E122" s="617"/>
      <c r="F122" s="617"/>
      <c r="G122" s="617"/>
      <c r="H122" s="617"/>
      <c r="I122" s="617"/>
      <c r="J122" s="617"/>
      <c r="K122" s="617"/>
      <c r="L122" s="617"/>
      <c r="R122" s="619"/>
      <c r="V122" s="617"/>
    </row>
    <row r="123" spans="1:22" s="618" customFormat="1" x14ac:dyDescent="0.35">
      <c r="A123" s="617"/>
      <c r="B123" s="617"/>
      <c r="C123" s="617"/>
      <c r="D123" s="617"/>
      <c r="E123" s="617"/>
      <c r="F123" s="617"/>
      <c r="G123" s="617"/>
      <c r="H123" s="617"/>
      <c r="I123" s="617"/>
      <c r="J123" s="617"/>
      <c r="K123" s="617"/>
      <c r="L123" s="617"/>
      <c r="R123" s="619"/>
      <c r="V123" s="617"/>
    </row>
    <row r="124" spans="1:22" s="618" customFormat="1" x14ac:dyDescent="0.35">
      <c r="A124" s="617"/>
      <c r="B124" s="617"/>
      <c r="C124" s="617"/>
      <c r="D124" s="617"/>
      <c r="E124" s="617"/>
      <c r="F124" s="617"/>
      <c r="G124" s="617"/>
      <c r="H124" s="617"/>
      <c r="I124" s="617"/>
      <c r="J124" s="617"/>
      <c r="K124" s="617"/>
      <c r="L124" s="617"/>
      <c r="R124" s="619"/>
      <c r="V124" s="617"/>
    </row>
    <row r="125" spans="1:22" s="618" customFormat="1" x14ac:dyDescent="0.35">
      <c r="A125" s="617"/>
      <c r="B125" s="617"/>
      <c r="C125" s="617"/>
      <c r="D125" s="617"/>
      <c r="E125" s="617"/>
      <c r="F125" s="617"/>
      <c r="G125" s="617"/>
      <c r="H125" s="617"/>
      <c r="I125" s="617"/>
      <c r="J125" s="617"/>
      <c r="K125" s="617"/>
      <c r="L125" s="617"/>
      <c r="R125" s="619"/>
      <c r="V125" s="617"/>
    </row>
    <row r="126" spans="1:22" s="618" customFormat="1" x14ac:dyDescent="0.35">
      <c r="A126" s="617"/>
      <c r="B126" s="617"/>
      <c r="C126" s="617"/>
      <c r="D126" s="617"/>
      <c r="E126" s="617"/>
      <c r="F126" s="617"/>
      <c r="G126" s="617"/>
      <c r="H126" s="617"/>
      <c r="I126" s="617"/>
      <c r="J126" s="617"/>
      <c r="K126" s="617"/>
      <c r="L126" s="617"/>
      <c r="R126" s="619"/>
      <c r="V126" s="617"/>
    </row>
    <row r="127" spans="1:22" s="618" customFormat="1" x14ac:dyDescent="0.35">
      <c r="A127" s="617"/>
      <c r="B127" s="617"/>
      <c r="C127" s="617"/>
      <c r="D127" s="617"/>
      <c r="E127" s="617"/>
      <c r="F127" s="617"/>
      <c r="G127" s="617"/>
      <c r="H127" s="617"/>
      <c r="I127" s="617"/>
      <c r="J127" s="617"/>
      <c r="K127" s="617"/>
      <c r="L127" s="617"/>
      <c r="R127" s="619"/>
      <c r="V127" s="617"/>
    </row>
    <row r="128" spans="1:22" s="618" customFormat="1" x14ac:dyDescent="0.35">
      <c r="A128" s="617"/>
      <c r="B128" s="617"/>
      <c r="C128" s="617"/>
      <c r="D128" s="617"/>
      <c r="E128" s="617"/>
      <c r="F128" s="617"/>
      <c r="G128" s="617"/>
      <c r="H128" s="617"/>
      <c r="I128" s="617"/>
      <c r="J128" s="617"/>
      <c r="K128" s="617"/>
      <c r="L128" s="617"/>
      <c r="R128" s="619"/>
      <c r="V128" s="617"/>
    </row>
    <row r="129" spans="1:22" s="618" customFormat="1" x14ac:dyDescent="0.35">
      <c r="A129" s="617"/>
      <c r="B129" s="617"/>
      <c r="C129" s="617"/>
      <c r="D129" s="617"/>
      <c r="E129" s="617"/>
      <c r="F129" s="617"/>
      <c r="G129" s="617"/>
      <c r="H129" s="617"/>
      <c r="I129" s="617"/>
      <c r="J129" s="617"/>
      <c r="K129" s="617"/>
      <c r="L129" s="617"/>
      <c r="R129" s="619"/>
      <c r="V129" s="617"/>
    </row>
    <row r="130" spans="1:22" s="618" customFormat="1" x14ac:dyDescent="0.35">
      <c r="A130" s="617"/>
      <c r="B130" s="617"/>
      <c r="C130" s="617"/>
      <c r="D130" s="617"/>
      <c r="E130" s="617"/>
      <c r="F130" s="617"/>
      <c r="G130" s="617"/>
      <c r="H130" s="617"/>
      <c r="I130" s="617"/>
      <c r="J130" s="617"/>
      <c r="K130" s="617"/>
      <c r="L130" s="617"/>
      <c r="R130" s="619"/>
      <c r="V130" s="617"/>
    </row>
    <row r="131" spans="1:22" s="618" customFormat="1" x14ac:dyDescent="0.35">
      <c r="A131" s="617"/>
      <c r="B131" s="617"/>
      <c r="C131" s="617"/>
      <c r="D131" s="617"/>
      <c r="E131" s="617"/>
      <c r="F131" s="617"/>
      <c r="G131" s="617"/>
      <c r="H131" s="617"/>
      <c r="I131" s="617"/>
      <c r="J131" s="617"/>
      <c r="K131" s="617"/>
      <c r="L131" s="617"/>
      <c r="R131" s="619"/>
      <c r="V131" s="617"/>
    </row>
    <row r="132" spans="1:22" s="618" customFormat="1" x14ac:dyDescent="0.35">
      <c r="A132" s="617"/>
      <c r="B132" s="617"/>
      <c r="C132" s="617"/>
      <c r="D132" s="617"/>
      <c r="E132" s="617"/>
      <c r="F132" s="617"/>
      <c r="G132" s="617"/>
      <c r="H132" s="617"/>
      <c r="I132" s="617"/>
      <c r="J132" s="617"/>
      <c r="K132" s="617"/>
      <c r="L132" s="617"/>
      <c r="R132" s="619"/>
      <c r="V132" s="617"/>
    </row>
    <row r="133" spans="1:22" s="618" customFormat="1" x14ac:dyDescent="0.35">
      <c r="A133" s="617"/>
      <c r="B133" s="617"/>
      <c r="C133" s="617"/>
      <c r="D133" s="617"/>
      <c r="E133" s="617"/>
      <c r="F133" s="617"/>
      <c r="G133" s="617"/>
      <c r="H133" s="617"/>
      <c r="I133" s="617"/>
      <c r="J133" s="617"/>
      <c r="K133" s="617"/>
      <c r="L133" s="617"/>
      <c r="R133" s="619"/>
      <c r="V133" s="617"/>
    </row>
    <row r="134" spans="1:22" s="618" customFormat="1" x14ac:dyDescent="0.35">
      <c r="A134" s="617"/>
      <c r="B134" s="617"/>
      <c r="C134" s="617"/>
      <c r="D134" s="617"/>
      <c r="E134" s="617"/>
      <c r="F134" s="617"/>
      <c r="G134" s="617"/>
      <c r="H134" s="617"/>
      <c r="I134" s="617"/>
      <c r="J134" s="617"/>
      <c r="K134" s="617"/>
      <c r="L134" s="617"/>
      <c r="R134" s="619"/>
      <c r="V134" s="617"/>
    </row>
    <row r="135" spans="1:22" s="618" customFormat="1" x14ac:dyDescent="0.35">
      <c r="A135" s="617"/>
      <c r="B135" s="617"/>
      <c r="C135" s="617"/>
      <c r="D135" s="617"/>
      <c r="E135" s="617"/>
      <c r="F135" s="617"/>
      <c r="G135" s="617"/>
      <c r="H135" s="617"/>
      <c r="I135" s="617"/>
      <c r="J135" s="617"/>
      <c r="K135" s="617"/>
      <c r="L135" s="617"/>
      <c r="R135" s="619"/>
      <c r="V135" s="617"/>
    </row>
    <row r="136" spans="1:22" s="618" customFormat="1" x14ac:dyDescent="0.35">
      <c r="A136" s="617"/>
      <c r="B136" s="617"/>
      <c r="C136" s="617"/>
      <c r="D136" s="617"/>
      <c r="E136" s="617"/>
      <c r="F136" s="617"/>
      <c r="G136" s="617"/>
      <c r="H136" s="617"/>
      <c r="I136" s="617"/>
      <c r="J136" s="617"/>
      <c r="K136" s="617"/>
      <c r="L136" s="617"/>
      <c r="R136" s="619"/>
      <c r="V136" s="617"/>
    </row>
    <row r="137" spans="1:22" s="618" customFormat="1" x14ac:dyDescent="0.35">
      <c r="A137" s="617"/>
      <c r="B137" s="617"/>
      <c r="C137" s="617"/>
      <c r="D137" s="617"/>
      <c r="E137" s="617"/>
      <c r="F137" s="617"/>
      <c r="G137" s="617"/>
      <c r="H137" s="617"/>
      <c r="I137" s="617"/>
      <c r="J137" s="617"/>
      <c r="K137" s="617"/>
      <c r="L137" s="617"/>
      <c r="R137" s="619"/>
      <c r="V137" s="617"/>
    </row>
    <row r="138" spans="1:22" s="618" customFormat="1" x14ac:dyDescent="0.35">
      <c r="A138" s="617"/>
      <c r="B138" s="617"/>
      <c r="C138" s="617"/>
      <c r="D138" s="617"/>
      <c r="E138" s="617"/>
      <c r="F138" s="617"/>
      <c r="G138" s="617"/>
      <c r="H138" s="617"/>
      <c r="I138" s="617"/>
      <c r="J138" s="617"/>
      <c r="K138" s="617"/>
      <c r="L138" s="617"/>
      <c r="R138" s="619"/>
      <c r="V138" s="617"/>
    </row>
    <row r="139" spans="1:22" s="618" customFormat="1" x14ac:dyDescent="0.35">
      <c r="A139" s="617"/>
      <c r="B139" s="617"/>
      <c r="C139" s="617"/>
      <c r="D139" s="617"/>
      <c r="E139" s="617"/>
      <c r="F139" s="617"/>
      <c r="G139" s="617"/>
      <c r="H139" s="617"/>
      <c r="I139" s="617"/>
      <c r="J139" s="617"/>
      <c r="K139" s="617"/>
      <c r="L139" s="617"/>
      <c r="R139" s="619"/>
      <c r="V139" s="617"/>
    </row>
    <row r="140" spans="1:22" s="618" customFormat="1" x14ac:dyDescent="0.35">
      <c r="A140" s="617"/>
      <c r="B140" s="617"/>
      <c r="C140" s="617"/>
      <c r="D140" s="617"/>
      <c r="E140" s="617"/>
      <c r="F140" s="617"/>
      <c r="G140" s="617"/>
      <c r="H140" s="617"/>
      <c r="I140" s="617"/>
      <c r="J140" s="617"/>
      <c r="K140" s="617"/>
      <c r="L140" s="617"/>
      <c r="R140" s="619"/>
      <c r="V140" s="617"/>
    </row>
    <row r="141" spans="1:22" s="618" customFormat="1" x14ac:dyDescent="0.35">
      <c r="A141" s="617"/>
      <c r="B141" s="617"/>
      <c r="C141" s="617"/>
      <c r="D141" s="617"/>
      <c r="E141" s="617"/>
      <c r="F141" s="617"/>
      <c r="G141" s="617"/>
      <c r="H141" s="617"/>
      <c r="I141" s="617"/>
      <c r="J141" s="617"/>
      <c r="K141" s="617"/>
      <c r="L141" s="617"/>
      <c r="R141" s="619"/>
      <c r="V141" s="617"/>
    </row>
    <row r="142" spans="1:22" s="618" customFormat="1" x14ac:dyDescent="0.35">
      <c r="A142" s="617"/>
      <c r="B142" s="617"/>
      <c r="C142" s="617"/>
      <c r="D142" s="617"/>
      <c r="E142" s="617"/>
      <c r="F142" s="617"/>
      <c r="G142" s="617"/>
      <c r="H142" s="617"/>
      <c r="I142" s="617"/>
      <c r="J142" s="617"/>
      <c r="K142" s="617"/>
      <c r="L142" s="617"/>
      <c r="R142" s="619"/>
      <c r="V142" s="617"/>
    </row>
    <row r="143" spans="1:22" s="618" customFormat="1" x14ac:dyDescent="0.35">
      <c r="A143" s="617"/>
      <c r="B143" s="617"/>
      <c r="C143" s="617"/>
      <c r="D143" s="617"/>
      <c r="E143" s="617"/>
      <c r="F143" s="617"/>
      <c r="G143" s="617"/>
      <c r="H143" s="617"/>
      <c r="I143" s="617"/>
      <c r="J143" s="617"/>
      <c r="K143" s="617"/>
      <c r="L143" s="617"/>
      <c r="R143" s="619"/>
      <c r="V143" s="617"/>
    </row>
    <row r="144" spans="1:22" s="618" customFormat="1" x14ac:dyDescent="0.35">
      <c r="A144" s="617"/>
      <c r="B144" s="617"/>
      <c r="C144" s="617"/>
      <c r="D144" s="617"/>
      <c r="E144" s="617"/>
      <c r="F144" s="617"/>
      <c r="G144" s="617"/>
      <c r="H144" s="617"/>
      <c r="I144" s="617"/>
      <c r="J144" s="617"/>
      <c r="K144" s="617"/>
      <c r="L144" s="617"/>
      <c r="R144" s="619"/>
      <c r="V144" s="617"/>
    </row>
    <row r="145" spans="1:22" s="618" customFormat="1" x14ac:dyDescent="0.35">
      <c r="A145" s="617"/>
      <c r="B145" s="617"/>
      <c r="C145" s="617"/>
      <c r="D145" s="617"/>
      <c r="E145" s="617"/>
      <c r="F145" s="617"/>
      <c r="G145" s="617"/>
      <c r="H145" s="617"/>
      <c r="I145" s="617"/>
      <c r="J145" s="617"/>
      <c r="K145" s="617"/>
      <c r="L145" s="617"/>
      <c r="R145" s="619"/>
      <c r="V145" s="617"/>
    </row>
    <row r="146" spans="1:22" s="618" customFormat="1" x14ac:dyDescent="0.35">
      <c r="A146" s="617"/>
      <c r="B146" s="617"/>
      <c r="C146" s="617"/>
      <c r="D146" s="617"/>
      <c r="E146" s="617"/>
      <c r="F146" s="617"/>
      <c r="G146" s="617"/>
      <c r="H146" s="617"/>
      <c r="I146" s="617"/>
      <c r="J146" s="617"/>
      <c r="K146" s="617"/>
      <c r="L146" s="617"/>
      <c r="R146" s="619"/>
      <c r="V146" s="617"/>
    </row>
    <row r="147" spans="1:22" s="618" customFormat="1" x14ac:dyDescent="0.35">
      <c r="A147" s="617"/>
      <c r="B147" s="617"/>
      <c r="C147" s="617"/>
      <c r="D147" s="617"/>
      <c r="E147" s="617"/>
      <c r="F147" s="617"/>
      <c r="G147" s="617"/>
      <c r="H147" s="617"/>
      <c r="I147" s="617"/>
      <c r="J147" s="617"/>
      <c r="K147" s="617"/>
      <c r="L147" s="617"/>
      <c r="R147" s="619"/>
      <c r="V147" s="617"/>
    </row>
    <row r="148" spans="1:22" s="618" customFormat="1" x14ac:dyDescent="0.35">
      <c r="A148" s="617"/>
      <c r="B148" s="617"/>
      <c r="C148" s="617"/>
      <c r="D148" s="617"/>
      <c r="E148" s="617"/>
      <c r="F148" s="617"/>
      <c r="G148" s="617"/>
      <c r="H148" s="617"/>
      <c r="I148" s="617"/>
      <c r="J148" s="617"/>
      <c r="K148" s="617"/>
      <c r="L148" s="617"/>
      <c r="R148" s="619"/>
      <c r="V148" s="617"/>
    </row>
    <row r="149" spans="1:22" s="618" customFormat="1" x14ac:dyDescent="0.35">
      <c r="A149" s="617"/>
      <c r="B149" s="617"/>
      <c r="C149" s="617"/>
      <c r="D149" s="617"/>
      <c r="E149" s="617"/>
      <c r="F149" s="617"/>
      <c r="G149" s="617"/>
      <c r="H149" s="617"/>
      <c r="I149" s="617"/>
      <c r="J149" s="617"/>
      <c r="K149" s="617"/>
      <c r="L149" s="617"/>
      <c r="R149" s="619"/>
      <c r="V149" s="617"/>
    </row>
    <row r="150" spans="1:22" s="618" customFormat="1" x14ac:dyDescent="0.35">
      <c r="A150" s="617"/>
      <c r="B150" s="617"/>
      <c r="C150" s="617"/>
      <c r="D150" s="617"/>
      <c r="E150" s="617"/>
      <c r="F150" s="617"/>
      <c r="G150" s="617"/>
      <c r="H150" s="617"/>
      <c r="I150" s="617"/>
      <c r="J150" s="617"/>
      <c r="K150" s="617"/>
      <c r="L150" s="617"/>
      <c r="R150" s="619"/>
      <c r="V150" s="617"/>
    </row>
    <row r="151" spans="1:22" s="618" customFormat="1" x14ac:dyDescent="0.35">
      <c r="A151" s="617"/>
      <c r="B151" s="617"/>
      <c r="C151" s="617"/>
      <c r="D151" s="617"/>
      <c r="E151" s="617"/>
      <c r="F151" s="617"/>
      <c r="G151" s="617"/>
      <c r="H151" s="617"/>
      <c r="I151" s="617"/>
      <c r="J151" s="617"/>
      <c r="K151" s="617"/>
      <c r="L151" s="617"/>
      <c r="R151" s="619"/>
      <c r="V151" s="617"/>
    </row>
    <row r="152" spans="1:22" s="618" customFormat="1" x14ac:dyDescent="0.35">
      <c r="A152" s="617"/>
      <c r="B152" s="617"/>
      <c r="C152" s="617"/>
      <c r="D152" s="617"/>
      <c r="E152" s="617"/>
      <c r="F152" s="617"/>
      <c r="G152" s="617"/>
      <c r="H152" s="617"/>
      <c r="I152" s="617"/>
      <c r="J152" s="617"/>
      <c r="K152" s="617"/>
      <c r="L152" s="617"/>
      <c r="R152" s="619"/>
      <c r="V152" s="617"/>
    </row>
    <row r="153" spans="1:22" s="618" customFormat="1" x14ac:dyDescent="0.35">
      <c r="A153" s="617"/>
      <c r="B153" s="617"/>
      <c r="C153" s="617"/>
      <c r="D153" s="617"/>
      <c r="E153" s="617"/>
      <c r="F153" s="617"/>
      <c r="G153" s="617"/>
      <c r="H153" s="617"/>
      <c r="I153" s="617"/>
      <c r="J153" s="617"/>
      <c r="K153" s="617"/>
      <c r="L153" s="617"/>
      <c r="R153" s="619"/>
      <c r="V153" s="617"/>
    </row>
    <row r="154" spans="1:22" s="618" customFormat="1" x14ac:dyDescent="0.35">
      <c r="A154" s="617"/>
      <c r="B154" s="617"/>
      <c r="C154" s="617"/>
      <c r="D154" s="617"/>
      <c r="E154" s="617"/>
      <c r="F154" s="617"/>
      <c r="G154" s="617"/>
      <c r="H154" s="617"/>
      <c r="I154" s="617"/>
      <c r="J154" s="617"/>
      <c r="K154" s="617"/>
      <c r="L154" s="617"/>
      <c r="R154" s="619"/>
      <c r="V154" s="617"/>
    </row>
    <row r="155" spans="1:22" s="618" customFormat="1" x14ac:dyDescent="0.35">
      <c r="A155" s="617"/>
      <c r="B155" s="617"/>
      <c r="C155" s="617"/>
      <c r="D155" s="617"/>
      <c r="E155" s="617"/>
      <c r="F155" s="617"/>
      <c r="G155" s="617"/>
      <c r="H155" s="617"/>
      <c r="I155" s="617"/>
      <c r="J155" s="617"/>
      <c r="K155" s="617"/>
      <c r="L155" s="617"/>
      <c r="R155" s="619"/>
      <c r="V155" s="617"/>
    </row>
    <row r="156" spans="1:22" s="618" customFormat="1" x14ac:dyDescent="0.35">
      <c r="A156" s="617"/>
      <c r="B156" s="617"/>
      <c r="C156" s="617"/>
      <c r="D156" s="617"/>
      <c r="E156" s="617"/>
      <c r="F156" s="617"/>
      <c r="G156" s="617"/>
      <c r="H156" s="617"/>
      <c r="I156" s="617"/>
      <c r="J156" s="617"/>
      <c r="K156" s="617"/>
      <c r="L156" s="617"/>
      <c r="R156" s="619"/>
      <c r="V156" s="617"/>
    </row>
    <row r="157" spans="1:22" s="618" customFormat="1" x14ac:dyDescent="0.35">
      <c r="A157" s="617"/>
      <c r="B157" s="617"/>
      <c r="C157" s="617"/>
      <c r="D157" s="617"/>
      <c r="E157" s="617"/>
      <c r="F157" s="617"/>
      <c r="G157" s="617"/>
      <c r="H157" s="617"/>
      <c r="I157" s="617"/>
      <c r="J157" s="617"/>
      <c r="K157" s="617"/>
      <c r="L157" s="617"/>
      <c r="R157" s="619"/>
      <c r="V157" s="617"/>
    </row>
    <row r="158" spans="1:22" s="618" customFormat="1" x14ac:dyDescent="0.35">
      <c r="A158" s="617"/>
      <c r="B158" s="617"/>
      <c r="C158" s="617"/>
      <c r="D158" s="617"/>
      <c r="E158" s="617"/>
      <c r="F158" s="617"/>
      <c r="G158" s="617"/>
      <c r="H158" s="617"/>
      <c r="I158" s="617"/>
      <c r="J158" s="617"/>
      <c r="K158" s="617"/>
      <c r="L158" s="617"/>
      <c r="R158" s="619"/>
      <c r="V158" s="617"/>
    </row>
    <row r="159" spans="1:22" s="618" customFormat="1" x14ac:dyDescent="0.35">
      <c r="A159" s="617"/>
      <c r="B159" s="617"/>
      <c r="C159" s="617"/>
      <c r="D159" s="617"/>
      <c r="E159" s="617"/>
      <c r="F159" s="617"/>
      <c r="G159" s="617"/>
      <c r="H159" s="617"/>
      <c r="I159" s="617"/>
      <c r="J159" s="617"/>
      <c r="K159" s="617"/>
      <c r="L159" s="617"/>
      <c r="R159" s="619"/>
      <c r="V159" s="617"/>
    </row>
    <row r="160" spans="1:22" s="618" customFormat="1" x14ac:dyDescent="0.35">
      <c r="A160" s="617"/>
      <c r="B160" s="617"/>
      <c r="C160" s="617"/>
      <c r="D160" s="617"/>
      <c r="E160" s="617"/>
      <c r="F160" s="617"/>
      <c r="G160" s="617"/>
      <c r="H160" s="617"/>
      <c r="I160" s="617"/>
      <c r="J160" s="617"/>
      <c r="K160" s="617"/>
      <c r="L160" s="617"/>
      <c r="R160" s="619"/>
      <c r="V160" s="617"/>
    </row>
    <row r="161" spans="1:22" s="618" customFormat="1" x14ac:dyDescent="0.35">
      <c r="A161" s="617"/>
      <c r="B161" s="617"/>
      <c r="C161" s="617"/>
      <c r="D161" s="617"/>
      <c r="E161" s="617"/>
      <c r="F161" s="617"/>
      <c r="G161" s="617"/>
      <c r="H161" s="617"/>
      <c r="I161" s="617"/>
      <c r="J161" s="617"/>
      <c r="K161" s="617"/>
      <c r="L161" s="617"/>
      <c r="R161" s="619"/>
      <c r="V161" s="617"/>
    </row>
    <row r="162" spans="1:22" s="618" customFormat="1" x14ac:dyDescent="0.35">
      <c r="A162" s="617"/>
      <c r="B162" s="617"/>
      <c r="C162" s="617"/>
      <c r="D162" s="617"/>
      <c r="E162" s="617"/>
      <c r="F162" s="617"/>
      <c r="G162" s="617"/>
      <c r="H162" s="617"/>
      <c r="I162" s="617"/>
      <c r="J162" s="617"/>
      <c r="K162" s="617"/>
      <c r="L162" s="617"/>
      <c r="R162" s="619"/>
      <c r="V162" s="617"/>
    </row>
    <row r="163" spans="1:22" s="618" customFormat="1" x14ac:dyDescent="0.35">
      <c r="A163" s="617"/>
      <c r="B163" s="617"/>
      <c r="C163" s="617"/>
      <c r="D163" s="617"/>
      <c r="E163" s="617"/>
      <c r="F163" s="617"/>
      <c r="G163" s="617"/>
      <c r="H163" s="617"/>
      <c r="I163" s="617"/>
      <c r="J163" s="617"/>
      <c r="K163" s="617"/>
      <c r="L163" s="617"/>
      <c r="R163" s="619"/>
      <c r="V163" s="617"/>
    </row>
    <row r="164" spans="1:22" s="618" customFormat="1" x14ac:dyDescent="0.35">
      <c r="A164" s="617"/>
      <c r="B164" s="617"/>
      <c r="C164" s="617"/>
      <c r="D164" s="617"/>
      <c r="E164" s="617"/>
      <c r="F164" s="617"/>
      <c r="G164" s="617"/>
      <c r="H164" s="617"/>
      <c r="I164" s="617"/>
      <c r="J164" s="617"/>
      <c r="K164" s="617"/>
      <c r="L164" s="617"/>
      <c r="R164" s="619"/>
      <c r="V164" s="617"/>
    </row>
    <row r="165" spans="1:22" s="618" customFormat="1" x14ac:dyDescent="0.35">
      <c r="A165" s="617"/>
      <c r="B165" s="617"/>
      <c r="C165" s="617"/>
      <c r="D165" s="617"/>
      <c r="E165" s="617"/>
      <c r="F165" s="617"/>
      <c r="G165" s="617"/>
      <c r="H165" s="617"/>
      <c r="I165" s="617"/>
      <c r="J165" s="617"/>
      <c r="K165" s="617"/>
      <c r="L165" s="617"/>
      <c r="R165" s="619"/>
      <c r="V165" s="617"/>
    </row>
    <row r="166" spans="1:22" s="618" customFormat="1" x14ac:dyDescent="0.35">
      <c r="A166" s="617"/>
      <c r="B166" s="617"/>
      <c r="C166" s="617"/>
      <c r="D166" s="617"/>
      <c r="E166" s="617"/>
      <c r="F166" s="617"/>
      <c r="G166" s="617"/>
      <c r="H166" s="617"/>
      <c r="I166" s="617"/>
      <c r="J166" s="617"/>
      <c r="K166" s="617"/>
      <c r="L166" s="617"/>
      <c r="R166" s="619"/>
      <c r="V166" s="617"/>
    </row>
    <row r="167" spans="1:22" s="618" customFormat="1" x14ac:dyDescent="0.35">
      <c r="A167" s="617"/>
      <c r="B167" s="617"/>
      <c r="C167" s="617"/>
      <c r="D167" s="617"/>
      <c r="E167" s="617"/>
      <c r="F167" s="617"/>
      <c r="G167" s="617"/>
      <c r="H167" s="617"/>
      <c r="I167" s="617"/>
      <c r="J167" s="617"/>
      <c r="K167" s="617"/>
      <c r="L167" s="617"/>
      <c r="R167" s="619"/>
      <c r="V167" s="617"/>
    </row>
    <row r="168" spans="1:22" s="618" customFormat="1" x14ac:dyDescent="0.35">
      <c r="A168" s="617"/>
      <c r="B168" s="617"/>
      <c r="C168" s="617"/>
      <c r="D168" s="617"/>
      <c r="E168" s="617"/>
      <c r="F168" s="617"/>
      <c r="G168" s="617"/>
      <c r="H168" s="617"/>
      <c r="I168" s="617"/>
      <c r="J168" s="617"/>
      <c r="K168" s="617"/>
      <c r="L168" s="617"/>
      <c r="R168" s="619"/>
      <c r="V168" s="617"/>
    </row>
    <row r="169" spans="1:22" s="618" customFormat="1" x14ac:dyDescent="0.35">
      <c r="A169" s="617"/>
      <c r="B169" s="617"/>
      <c r="C169" s="617"/>
      <c r="D169" s="617"/>
      <c r="E169" s="617"/>
      <c r="F169" s="617"/>
      <c r="G169" s="617"/>
      <c r="H169" s="617"/>
      <c r="I169" s="617"/>
      <c r="J169" s="617"/>
      <c r="K169" s="617"/>
      <c r="L169" s="617"/>
      <c r="R169" s="619"/>
      <c r="V169" s="617"/>
    </row>
    <row r="170" spans="1:22" s="618" customFormat="1" x14ac:dyDescent="0.35">
      <c r="A170" s="617"/>
      <c r="B170" s="617"/>
      <c r="C170" s="617"/>
      <c r="D170" s="617"/>
      <c r="E170" s="617"/>
      <c r="F170" s="617"/>
      <c r="G170" s="617"/>
      <c r="H170" s="617"/>
      <c r="I170" s="617"/>
      <c r="J170" s="617"/>
      <c r="K170" s="617"/>
      <c r="L170" s="617"/>
      <c r="R170" s="619"/>
      <c r="V170" s="617"/>
    </row>
    <row r="171" spans="1:22" s="618" customFormat="1" x14ac:dyDescent="0.35">
      <c r="A171" s="617"/>
      <c r="B171" s="617"/>
      <c r="C171" s="617"/>
      <c r="D171" s="617"/>
      <c r="E171" s="617"/>
      <c r="F171" s="617"/>
      <c r="G171" s="617"/>
      <c r="H171" s="617"/>
      <c r="I171" s="617"/>
      <c r="J171" s="617"/>
      <c r="K171" s="617"/>
      <c r="L171" s="617"/>
      <c r="R171" s="619"/>
      <c r="V171" s="617"/>
    </row>
    <row r="172" spans="1:22" s="618" customFormat="1" x14ac:dyDescent="0.35">
      <c r="A172" s="617"/>
      <c r="B172" s="617"/>
      <c r="C172" s="617"/>
      <c r="D172" s="617"/>
      <c r="E172" s="617"/>
      <c r="F172" s="617"/>
      <c r="G172" s="617"/>
      <c r="H172" s="617"/>
      <c r="I172" s="617"/>
      <c r="J172" s="617"/>
      <c r="K172" s="617"/>
      <c r="L172" s="617"/>
      <c r="R172" s="619"/>
      <c r="V172" s="617"/>
    </row>
    <row r="173" spans="1:22" s="618" customFormat="1" x14ac:dyDescent="0.35">
      <c r="A173" s="617"/>
      <c r="B173" s="617"/>
      <c r="C173" s="617"/>
      <c r="D173" s="617"/>
      <c r="E173" s="617"/>
      <c r="F173" s="617"/>
      <c r="G173" s="617"/>
      <c r="H173" s="617"/>
      <c r="I173" s="617"/>
      <c r="J173" s="617"/>
      <c r="K173" s="617"/>
      <c r="L173" s="617"/>
      <c r="R173" s="619"/>
      <c r="V173" s="617"/>
    </row>
    <row r="174" spans="1:22" s="618" customFormat="1" x14ac:dyDescent="0.35">
      <c r="A174" s="617"/>
      <c r="B174" s="617"/>
      <c r="C174" s="617"/>
      <c r="D174" s="617"/>
      <c r="E174" s="617"/>
      <c r="F174" s="617"/>
      <c r="G174" s="617"/>
      <c r="H174" s="617"/>
      <c r="I174" s="617"/>
      <c r="J174" s="617"/>
      <c r="K174" s="617"/>
      <c r="L174" s="617"/>
      <c r="R174" s="619"/>
      <c r="V174" s="617"/>
    </row>
    <row r="175" spans="1:22" s="618" customFormat="1" x14ac:dyDescent="0.35">
      <c r="A175" s="617"/>
      <c r="B175" s="617"/>
      <c r="C175" s="617"/>
      <c r="D175" s="617"/>
      <c r="E175" s="617"/>
      <c r="F175" s="617"/>
      <c r="G175" s="617"/>
      <c r="H175" s="617"/>
      <c r="I175" s="617"/>
      <c r="J175" s="617"/>
      <c r="K175" s="617"/>
      <c r="L175" s="617"/>
      <c r="R175" s="619"/>
      <c r="V175" s="617"/>
    </row>
    <row r="176" spans="1:22" s="618" customFormat="1" x14ac:dyDescent="0.35">
      <c r="A176" s="617"/>
      <c r="B176" s="617"/>
      <c r="C176" s="617"/>
      <c r="D176" s="617"/>
      <c r="E176" s="617"/>
      <c r="F176" s="617"/>
      <c r="G176" s="617"/>
      <c r="H176" s="617"/>
      <c r="I176" s="617"/>
      <c r="J176" s="617"/>
      <c r="K176" s="617"/>
      <c r="L176" s="617"/>
      <c r="R176" s="619"/>
      <c r="V176" s="617"/>
    </row>
    <row r="177" spans="1:22" s="618" customFormat="1" x14ac:dyDescent="0.35">
      <c r="A177" s="617"/>
      <c r="B177" s="617"/>
      <c r="C177" s="617"/>
      <c r="D177" s="617"/>
      <c r="E177" s="617"/>
      <c r="F177" s="617"/>
      <c r="G177" s="617"/>
      <c r="H177" s="617"/>
      <c r="I177" s="617"/>
      <c r="J177" s="617"/>
      <c r="K177" s="617"/>
      <c r="L177" s="617"/>
      <c r="R177" s="619"/>
      <c r="V177" s="617"/>
    </row>
    <row r="178" spans="1:22" s="618" customFormat="1" x14ac:dyDescent="0.35">
      <c r="A178" s="617"/>
      <c r="B178" s="617"/>
      <c r="C178" s="617"/>
      <c r="D178" s="617"/>
      <c r="E178" s="617"/>
      <c r="F178" s="617"/>
      <c r="G178" s="617"/>
      <c r="H178" s="617"/>
      <c r="I178" s="617"/>
      <c r="J178" s="617"/>
      <c r="K178" s="617"/>
      <c r="L178" s="617"/>
      <c r="R178" s="619"/>
      <c r="V178" s="617"/>
    </row>
    <row r="179" spans="1:22" s="618" customFormat="1" x14ac:dyDescent="0.35">
      <c r="A179" s="617"/>
      <c r="B179" s="617"/>
      <c r="C179" s="617"/>
      <c r="D179" s="617"/>
      <c r="E179" s="617"/>
      <c r="F179" s="617"/>
      <c r="G179" s="617"/>
      <c r="H179" s="617"/>
      <c r="I179" s="617"/>
      <c r="J179" s="617"/>
      <c r="K179" s="617"/>
      <c r="L179" s="617"/>
      <c r="R179" s="619"/>
      <c r="V179" s="617"/>
    </row>
    <row r="180" spans="1:22" s="618" customFormat="1" x14ac:dyDescent="0.35">
      <c r="A180" s="617"/>
      <c r="B180" s="617"/>
      <c r="C180" s="617"/>
      <c r="D180" s="617"/>
      <c r="E180" s="617"/>
      <c r="F180" s="617"/>
      <c r="G180" s="617"/>
      <c r="H180" s="617"/>
      <c r="I180" s="617"/>
      <c r="J180" s="617"/>
      <c r="K180" s="617"/>
      <c r="L180" s="617"/>
      <c r="R180" s="619"/>
      <c r="V180" s="617"/>
    </row>
    <row r="181" spans="1:22" s="618" customFormat="1" x14ac:dyDescent="0.35">
      <c r="A181" s="617"/>
      <c r="B181" s="617"/>
      <c r="C181" s="617"/>
      <c r="D181" s="617"/>
      <c r="E181" s="617"/>
      <c r="F181" s="617"/>
      <c r="G181" s="617"/>
      <c r="H181" s="617"/>
      <c r="I181" s="617"/>
      <c r="J181" s="617"/>
      <c r="K181" s="617"/>
      <c r="L181" s="617"/>
      <c r="R181" s="619"/>
      <c r="V181" s="617"/>
    </row>
    <row r="182" spans="1:22" s="618" customFormat="1" x14ac:dyDescent="0.35">
      <c r="A182" s="617"/>
      <c r="B182" s="617"/>
      <c r="C182" s="617"/>
      <c r="D182" s="617"/>
      <c r="E182" s="617"/>
      <c r="F182" s="617"/>
      <c r="G182" s="617"/>
      <c r="H182" s="617"/>
      <c r="I182" s="617"/>
      <c r="J182" s="617"/>
      <c r="K182" s="617"/>
      <c r="L182" s="617"/>
      <c r="R182" s="619"/>
      <c r="V182" s="617"/>
    </row>
    <row r="183" spans="1:22" s="618" customFormat="1" x14ac:dyDescent="0.35">
      <c r="A183" s="617"/>
      <c r="B183" s="617"/>
      <c r="C183" s="617"/>
      <c r="D183" s="617"/>
      <c r="E183" s="617"/>
      <c r="F183" s="617"/>
      <c r="G183" s="617"/>
      <c r="H183" s="617"/>
      <c r="I183" s="617"/>
      <c r="J183" s="617"/>
      <c r="K183" s="617"/>
      <c r="L183" s="617"/>
      <c r="R183" s="619"/>
      <c r="V183" s="617"/>
    </row>
    <row r="184" spans="1:22" s="618" customFormat="1" x14ac:dyDescent="0.35">
      <c r="A184" s="617"/>
      <c r="B184" s="617"/>
      <c r="C184" s="617"/>
      <c r="D184" s="617"/>
      <c r="E184" s="617"/>
      <c r="F184" s="617"/>
      <c r="G184" s="617"/>
      <c r="H184" s="617"/>
      <c r="I184" s="617"/>
      <c r="J184" s="617"/>
      <c r="K184" s="617"/>
      <c r="L184" s="617"/>
      <c r="R184" s="619"/>
      <c r="V184" s="617"/>
    </row>
    <row r="185" spans="1:22" s="618" customFormat="1" x14ac:dyDescent="0.35">
      <c r="A185" s="617"/>
      <c r="B185" s="617"/>
      <c r="C185" s="617"/>
      <c r="D185" s="617"/>
      <c r="E185" s="617"/>
      <c r="F185" s="617"/>
      <c r="G185" s="617"/>
      <c r="H185" s="617"/>
      <c r="I185" s="617"/>
      <c r="J185" s="617"/>
      <c r="K185" s="617"/>
      <c r="L185" s="617"/>
      <c r="R185" s="619"/>
      <c r="V185" s="617"/>
    </row>
    <row r="186" spans="1:22" s="618" customFormat="1" x14ac:dyDescent="0.35">
      <c r="A186" s="617"/>
      <c r="B186" s="617"/>
      <c r="C186" s="617"/>
      <c r="D186" s="617"/>
      <c r="E186" s="617"/>
      <c r="F186" s="617"/>
      <c r="G186" s="617"/>
      <c r="H186" s="617"/>
      <c r="I186" s="617"/>
      <c r="J186" s="617"/>
      <c r="K186" s="617"/>
      <c r="L186" s="617"/>
      <c r="R186" s="619"/>
      <c r="V186" s="617"/>
    </row>
    <row r="187" spans="1:22" s="618" customFormat="1" x14ac:dyDescent="0.35">
      <c r="A187" s="617"/>
      <c r="B187" s="617"/>
      <c r="C187" s="617"/>
      <c r="D187" s="617"/>
      <c r="E187" s="617"/>
      <c r="F187" s="617"/>
      <c r="G187" s="617"/>
      <c r="H187" s="617"/>
      <c r="I187" s="617"/>
      <c r="J187" s="617"/>
      <c r="K187" s="617"/>
      <c r="L187" s="617"/>
      <c r="R187" s="619"/>
      <c r="V187" s="617"/>
    </row>
    <row r="188" spans="1:22" s="618" customFormat="1" x14ac:dyDescent="0.35">
      <c r="A188" s="617"/>
      <c r="B188" s="617"/>
      <c r="C188" s="617"/>
      <c r="D188" s="617"/>
      <c r="E188" s="617"/>
      <c r="F188" s="617"/>
      <c r="G188" s="617"/>
      <c r="H188" s="617"/>
      <c r="I188" s="617"/>
      <c r="J188" s="617"/>
      <c r="K188" s="617"/>
      <c r="L188" s="617"/>
      <c r="R188" s="619"/>
      <c r="V188" s="617"/>
    </row>
    <row r="189" spans="1:22" s="618" customFormat="1" x14ac:dyDescent="0.35">
      <c r="A189" s="617"/>
      <c r="B189" s="617"/>
      <c r="C189" s="617"/>
      <c r="D189" s="617"/>
      <c r="E189" s="617"/>
      <c r="F189" s="617"/>
      <c r="G189" s="617"/>
      <c r="H189" s="617"/>
      <c r="I189" s="617"/>
      <c r="J189" s="617"/>
      <c r="K189" s="617"/>
      <c r="L189" s="617"/>
      <c r="R189" s="619"/>
      <c r="V189" s="617"/>
    </row>
    <row r="190" spans="1:22" s="618" customFormat="1" x14ac:dyDescent="0.35">
      <c r="A190" s="617"/>
      <c r="B190" s="617"/>
      <c r="C190" s="617"/>
      <c r="D190" s="617"/>
      <c r="E190" s="617"/>
      <c r="F190" s="617"/>
      <c r="G190" s="617"/>
      <c r="H190" s="617"/>
      <c r="I190" s="617"/>
      <c r="J190" s="617"/>
      <c r="K190" s="617"/>
      <c r="L190" s="617"/>
      <c r="R190" s="619"/>
      <c r="V190" s="617"/>
    </row>
    <row r="191" spans="1:22" s="618" customFormat="1" x14ac:dyDescent="0.35">
      <c r="A191" s="617"/>
      <c r="B191" s="617"/>
      <c r="C191" s="617"/>
      <c r="D191" s="617"/>
      <c r="E191" s="617"/>
      <c r="F191" s="617"/>
      <c r="G191" s="617"/>
      <c r="H191" s="617"/>
      <c r="I191" s="617"/>
      <c r="J191" s="617"/>
      <c r="K191" s="617"/>
      <c r="L191" s="617"/>
      <c r="R191" s="619"/>
      <c r="V191" s="617"/>
    </row>
    <row r="192" spans="1:22" s="618" customFormat="1" x14ac:dyDescent="0.35">
      <c r="A192" s="617"/>
      <c r="B192" s="617"/>
      <c r="C192" s="617"/>
      <c r="D192" s="617"/>
      <c r="E192" s="617"/>
      <c r="F192" s="617"/>
      <c r="G192" s="617"/>
      <c r="H192" s="617"/>
      <c r="I192" s="617"/>
      <c r="J192" s="617"/>
      <c r="K192" s="617"/>
      <c r="L192" s="617"/>
      <c r="R192" s="619"/>
      <c r="V192" s="617"/>
    </row>
    <row r="193" spans="1:22" s="618" customFormat="1" x14ac:dyDescent="0.35">
      <c r="A193" s="617"/>
      <c r="B193" s="617"/>
      <c r="C193" s="617"/>
      <c r="D193" s="617"/>
      <c r="E193" s="617"/>
      <c r="F193" s="617"/>
      <c r="G193" s="617"/>
      <c r="H193" s="617"/>
      <c r="I193" s="617"/>
      <c r="J193" s="617"/>
      <c r="K193" s="617"/>
      <c r="L193" s="617"/>
      <c r="R193" s="619"/>
      <c r="V193" s="617"/>
    </row>
    <row r="194" spans="1:22" s="618" customFormat="1" x14ac:dyDescent="0.35">
      <c r="A194" s="617"/>
      <c r="B194" s="617"/>
      <c r="C194" s="617"/>
      <c r="D194" s="617"/>
      <c r="E194" s="617"/>
      <c r="F194" s="617"/>
      <c r="G194" s="617"/>
      <c r="H194" s="617"/>
      <c r="I194" s="617"/>
      <c r="J194" s="617"/>
      <c r="K194" s="617"/>
      <c r="L194" s="617"/>
      <c r="R194" s="619"/>
      <c r="V194" s="617"/>
    </row>
    <row r="195" spans="1:22" s="618" customFormat="1" x14ac:dyDescent="0.35">
      <c r="A195" s="617"/>
      <c r="B195" s="617"/>
      <c r="C195" s="617"/>
      <c r="D195" s="617"/>
      <c r="E195" s="617"/>
      <c r="F195" s="617"/>
      <c r="G195" s="617"/>
      <c r="H195" s="617"/>
      <c r="I195" s="617"/>
      <c r="J195" s="617"/>
      <c r="K195" s="617"/>
      <c r="L195" s="617"/>
      <c r="R195" s="619"/>
      <c r="V195" s="617"/>
    </row>
    <row r="196" spans="1:22" s="618" customFormat="1" x14ac:dyDescent="0.35">
      <c r="A196" s="617"/>
      <c r="B196" s="617"/>
      <c r="C196" s="617"/>
      <c r="D196" s="617"/>
      <c r="E196" s="617"/>
      <c r="F196" s="617"/>
      <c r="G196" s="617"/>
      <c r="H196" s="617"/>
      <c r="I196" s="617"/>
      <c r="J196" s="617"/>
      <c r="K196" s="617"/>
      <c r="L196" s="617"/>
      <c r="R196" s="619"/>
      <c r="V196" s="617"/>
    </row>
    <row r="197" spans="1:22" s="618" customFormat="1" x14ac:dyDescent="0.35">
      <c r="A197" s="617"/>
      <c r="B197" s="617"/>
      <c r="C197" s="617"/>
      <c r="D197" s="617"/>
      <c r="E197" s="617"/>
      <c r="F197" s="617"/>
      <c r="G197" s="617"/>
      <c r="H197" s="617"/>
      <c r="I197" s="617"/>
      <c r="J197" s="617"/>
      <c r="K197" s="617"/>
      <c r="L197" s="617"/>
      <c r="R197" s="619"/>
      <c r="V197" s="617"/>
    </row>
    <row r="198" spans="1:22" s="618" customFormat="1" x14ac:dyDescent="0.35">
      <c r="A198" s="617"/>
      <c r="B198" s="617"/>
      <c r="C198" s="617"/>
      <c r="D198" s="617"/>
      <c r="E198" s="617"/>
      <c r="F198" s="617"/>
      <c r="G198" s="617"/>
      <c r="H198" s="617"/>
      <c r="I198" s="617"/>
      <c r="J198" s="617"/>
      <c r="K198" s="617"/>
      <c r="L198" s="617"/>
      <c r="R198" s="619"/>
      <c r="V198" s="617"/>
    </row>
    <row r="199" spans="1:22" s="618" customFormat="1" x14ac:dyDescent="0.35">
      <c r="A199" s="617"/>
      <c r="B199" s="617"/>
      <c r="C199" s="617"/>
      <c r="D199" s="617"/>
      <c r="E199" s="617"/>
      <c r="F199" s="617"/>
      <c r="G199" s="617"/>
      <c r="H199" s="617"/>
      <c r="I199" s="617"/>
      <c r="J199" s="617"/>
      <c r="K199" s="617"/>
      <c r="L199" s="617"/>
      <c r="R199" s="619"/>
      <c r="V199" s="617"/>
    </row>
    <row r="200" spans="1:22" s="618" customFormat="1" x14ac:dyDescent="0.35">
      <c r="A200" s="617"/>
      <c r="B200" s="617"/>
      <c r="C200" s="617"/>
      <c r="D200" s="617"/>
      <c r="E200" s="617"/>
      <c r="F200" s="617"/>
      <c r="G200" s="617"/>
      <c r="H200" s="617"/>
      <c r="I200" s="617"/>
      <c r="J200" s="617"/>
      <c r="K200" s="617"/>
      <c r="L200" s="617"/>
      <c r="R200" s="619"/>
      <c r="V200" s="617"/>
    </row>
    <row r="201" spans="1:22" s="618" customFormat="1" x14ac:dyDescent="0.35">
      <c r="A201" s="617"/>
      <c r="B201" s="617"/>
      <c r="C201" s="617"/>
      <c r="D201" s="617"/>
      <c r="E201" s="617"/>
      <c r="F201" s="617"/>
      <c r="G201" s="617"/>
      <c r="H201" s="617"/>
      <c r="I201" s="617"/>
      <c r="J201" s="617"/>
      <c r="K201" s="617"/>
      <c r="L201" s="617"/>
      <c r="R201" s="619"/>
      <c r="V201" s="617"/>
    </row>
    <row r="202" spans="1:22" s="618" customFormat="1" x14ac:dyDescent="0.35">
      <c r="A202" s="617"/>
      <c r="B202" s="617"/>
      <c r="C202" s="617"/>
      <c r="D202" s="617"/>
      <c r="E202" s="617"/>
      <c r="F202" s="617"/>
      <c r="G202" s="617"/>
      <c r="H202" s="617"/>
      <c r="I202" s="617"/>
      <c r="J202" s="617"/>
      <c r="K202" s="617"/>
      <c r="L202" s="617"/>
      <c r="R202" s="619"/>
      <c r="V202" s="617"/>
    </row>
    <row r="203" spans="1:22" s="618" customFormat="1" x14ac:dyDescent="0.35">
      <c r="A203" s="617"/>
      <c r="B203" s="617"/>
      <c r="C203" s="617"/>
      <c r="D203" s="617"/>
      <c r="E203" s="617"/>
      <c r="F203" s="617"/>
      <c r="G203" s="617"/>
      <c r="H203" s="617"/>
      <c r="I203" s="617"/>
      <c r="J203" s="617"/>
      <c r="K203" s="617"/>
      <c r="L203" s="617"/>
      <c r="R203" s="619"/>
      <c r="V203" s="617"/>
    </row>
    <row r="204" spans="1:22" s="618" customFormat="1" x14ac:dyDescent="0.35">
      <c r="A204" s="617"/>
      <c r="B204" s="617"/>
      <c r="C204" s="617"/>
      <c r="D204" s="617"/>
      <c r="E204" s="617"/>
      <c r="F204" s="617"/>
      <c r="G204" s="617"/>
      <c r="H204" s="617"/>
      <c r="I204" s="617"/>
      <c r="J204" s="617"/>
      <c r="K204" s="617"/>
      <c r="L204" s="617"/>
      <c r="R204" s="619"/>
      <c r="V204" s="617"/>
    </row>
    <row r="205" spans="1:22" s="618" customFormat="1" x14ac:dyDescent="0.35">
      <c r="A205" s="617"/>
      <c r="B205" s="617"/>
      <c r="C205" s="617"/>
      <c r="D205" s="617"/>
      <c r="E205" s="617"/>
      <c r="F205" s="617"/>
      <c r="G205" s="617"/>
      <c r="H205" s="617"/>
      <c r="I205" s="617"/>
      <c r="J205" s="617"/>
      <c r="K205" s="617"/>
      <c r="L205" s="617"/>
      <c r="R205" s="619"/>
      <c r="V205" s="617"/>
    </row>
    <row r="206" spans="1:22" s="618" customFormat="1" x14ac:dyDescent="0.35">
      <c r="A206" s="617"/>
      <c r="B206" s="617"/>
      <c r="C206" s="617"/>
      <c r="D206" s="617"/>
      <c r="E206" s="617"/>
      <c r="F206" s="617"/>
      <c r="G206" s="617"/>
      <c r="H206" s="617"/>
      <c r="I206" s="617"/>
      <c r="J206" s="617"/>
      <c r="K206" s="617"/>
      <c r="L206" s="617"/>
      <c r="R206" s="619"/>
      <c r="V206" s="617"/>
    </row>
    <row r="207" spans="1:22" s="618" customFormat="1" x14ac:dyDescent="0.35">
      <c r="A207" s="617"/>
      <c r="B207" s="617"/>
      <c r="C207" s="617"/>
      <c r="D207" s="617"/>
      <c r="E207" s="617"/>
      <c r="F207" s="617"/>
      <c r="G207" s="617"/>
      <c r="H207" s="617"/>
      <c r="I207" s="617"/>
      <c r="J207" s="617"/>
      <c r="K207" s="617"/>
      <c r="L207" s="617"/>
      <c r="R207" s="619"/>
      <c r="V207" s="617"/>
    </row>
    <row r="208" spans="1:22" s="618" customFormat="1" x14ac:dyDescent="0.35">
      <c r="A208" s="617"/>
      <c r="B208" s="617"/>
      <c r="C208" s="617"/>
      <c r="D208" s="617"/>
      <c r="E208" s="617"/>
      <c r="F208" s="617"/>
      <c r="G208" s="617"/>
      <c r="H208" s="617"/>
      <c r="I208" s="617"/>
      <c r="J208" s="617"/>
      <c r="K208" s="617"/>
      <c r="L208" s="617"/>
      <c r="R208" s="619"/>
      <c r="V208" s="617"/>
    </row>
    <row r="209" spans="1:22" s="618" customFormat="1" x14ac:dyDescent="0.35">
      <c r="A209" s="617"/>
      <c r="B209" s="617"/>
      <c r="C209" s="617"/>
      <c r="D209" s="617"/>
      <c r="E209" s="617"/>
      <c r="F209" s="617"/>
      <c r="G209" s="617"/>
      <c r="H209" s="617"/>
      <c r="I209" s="617"/>
      <c r="J209" s="617"/>
      <c r="K209" s="617"/>
      <c r="L209" s="617"/>
      <c r="R209" s="619"/>
      <c r="V209" s="617"/>
    </row>
    <row r="210" spans="1:22" s="618" customFormat="1" x14ac:dyDescent="0.35">
      <c r="A210" s="617"/>
      <c r="B210" s="617"/>
      <c r="C210" s="617"/>
      <c r="D210" s="617"/>
      <c r="E210" s="617"/>
      <c r="F210" s="617"/>
      <c r="G210" s="617"/>
      <c r="H210" s="617"/>
      <c r="I210" s="617"/>
      <c r="J210" s="617"/>
      <c r="K210" s="617"/>
      <c r="L210" s="617"/>
      <c r="R210" s="619"/>
      <c r="V210" s="617"/>
    </row>
    <row r="211" spans="1:22" s="618" customFormat="1" x14ac:dyDescent="0.35">
      <c r="A211" s="617"/>
      <c r="B211" s="617"/>
      <c r="C211" s="617"/>
      <c r="D211" s="617"/>
      <c r="E211" s="617"/>
      <c r="F211" s="617"/>
      <c r="G211" s="617"/>
      <c r="H211" s="617"/>
      <c r="I211" s="617"/>
      <c r="J211" s="617"/>
      <c r="K211" s="617"/>
      <c r="L211" s="617"/>
      <c r="R211" s="619"/>
      <c r="V211" s="617"/>
    </row>
    <row r="212" spans="1:22" s="618" customFormat="1" x14ac:dyDescent="0.35">
      <c r="A212" s="617"/>
      <c r="B212" s="617"/>
      <c r="C212" s="617"/>
      <c r="D212" s="617"/>
      <c r="E212" s="617"/>
      <c r="F212" s="617"/>
      <c r="G212" s="617"/>
      <c r="H212" s="617"/>
      <c r="I212" s="617"/>
      <c r="J212" s="617"/>
      <c r="K212" s="617"/>
      <c r="L212" s="617"/>
      <c r="R212" s="619"/>
      <c r="V212" s="617"/>
    </row>
    <row r="213" spans="1:22" s="618" customFormat="1" x14ac:dyDescent="0.35">
      <c r="A213" s="617"/>
      <c r="B213" s="617"/>
      <c r="C213" s="617"/>
      <c r="D213" s="617"/>
      <c r="E213" s="617"/>
      <c r="F213" s="617"/>
      <c r="G213" s="617"/>
      <c r="H213" s="617"/>
      <c r="I213" s="617"/>
      <c r="J213" s="617"/>
      <c r="K213" s="617"/>
      <c r="L213" s="617"/>
      <c r="R213" s="619"/>
      <c r="V213" s="617"/>
    </row>
    <row r="214" spans="1:22" s="618" customFormat="1" x14ac:dyDescent="0.35">
      <c r="A214" s="617"/>
      <c r="B214" s="617"/>
      <c r="C214" s="617"/>
      <c r="D214" s="617"/>
      <c r="E214" s="617"/>
      <c r="F214" s="617"/>
      <c r="G214" s="617"/>
      <c r="H214" s="617"/>
      <c r="I214" s="617"/>
      <c r="J214" s="617"/>
      <c r="K214" s="617"/>
      <c r="L214" s="617"/>
      <c r="R214" s="619"/>
      <c r="V214" s="617"/>
    </row>
    <row r="215" spans="1:22" s="618" customFormat="1" x14ac:dyDescent="0.35">
      <c r="A215" s="617"/>
      <c r="B215" s="617"/>
      <c r="C215" s="617"/>
      <c r="D215" s="617"/>
      <c r="E215" s="617"/>
      <c r="F215" s="617"/>
      <c r="G215" s="617"/>
      <c r="H215" s="617"/>
      <c r="I215" s="617"/>
      <c r="J215" s="617"/>
      <c r="K215" s="617"/>
      <c r="L215" s="617"/>
      <c r="R215" s="619"/>
      <c r="V215" s="617"/>
    </row>
    <row r="216" spans="1:22" s="618" customFormat="1" x14ac:dyDescent="0.35">
      <c r="A216" s="617"/>
      <c r="B216" s="617"/>
      <c r="C216" s="617"/>
      <c r="D216" s="617"/>
      <c r="E216" s="617"/>
      <c r="F216" s="617"/>
      <c r="G216" s="617"/>
      <c r="H216" s="617"/>
      <c r="I216" s="617"/>
      <c r="J216" s="617"/>
      <c r="K216" s="617"/>
      <c r="L216" s="617"/>
      <c r="R216" s="619"/>
      <c r="V216" s="617"/>
    </row>
    <row r="217" spans="1:22" s="618" customFormat="1" x14ac:dyDescent="0.35">
      <c r="A217" s="617"/>
      <c r="B217" s="617"/>
      <c r="C217" s="617"/>
      <c r="D217" s="617"/>
      <c r="E217" s="617"/>
      <c r="F217" s="617"/>
      <c r="G217" s="617"/>
      <c r="H217" s="617"/>
      <c r="I217" s="617"/>
      <c r="J217" s="617"/>
      <c r="K217" s="617"/>
      <c r="L217" s="617"/>
      <c r="R217" s="619"/>
      <c r="V217" s="617"/>
    </row>
    <row r="218" spans="1:22" s="618" customFormat="1" x14ac:dyDescent="0.35">
      <c r="A218" s="617"/>
      <c r="B218" s="617"/>
      <c r="C218" s="617"/>
      <c r="D218" s="617"/>
      <c r="E218" s="617"/>
      <c r="F218" s="617"/>
      <c r="G218" s="617"/>
      <c r="H218" s="617"/>
      <c r="I218" s="617"/>
      <c r="J218" s="617"/>
      <c r="K218" s="617"/>
      <c r="L218" s="617"/>
      <c r="R218" s="619"/>
      <c r="V218" s="617"/>
    </row>
    <row r="219" spans="1:22" s="618" customFormat="1" x14ac:dyDescent="0.35">
      <c r="A219" s="617"/>
      <c r="B219" s="617"/>
      <c r="C219" s="617"/>
      <c r="D219" s="617"/>
      <c r="E219" s="617"/>
      <c r="F219" s="617"/>
      <c r="G219" s="617"/>
      <c r="H219" s="617"/>
      <c r="I219" s="617"/>
      <c r="J219" s="617"/>
      <c r="K219" s="617"/>
      <c r="L219" s="617"/>
      <c r="R219" s="619"/>
      <c r="V219" s="617"/>
    </row>
    <row r="220" spans="1:22" s="618" customFormat="1" x14ac:dyDescent="0.35">
      <c r="A220" s="617"/>
      <c r="B220" s="617"/>
      <c r="C220" s="617"/>
      <c r="D220" s="617"/>
      <c r="E220" s="617"/>
      <c r="F220" s="617"/>
      <c r="G220" s="617"/>
      <c r="H220" s="617"/>
      <c r="I220" s="617"/>
      <c r="J220" s="617"/>
      <c r="K220" s="617"/>
      <c r="L220" s="617"/>
      <c r="R220" s="619"/>
      <c r="V220" s="617"/>
    </row>
    <row r="221" spans="1:22" s="618" customFormat="1" x14ac:dyDescent="0.35">
      <c r="A221" s="617"/>
      <c r="B221" s="617"/>
      <c r="C221" s="617"/>
      <c r="D221" s="617"/>
      <c r="E221" s="617"/>
      <c r="F221" s="617"/>
      <c r="G221" s="617"/>
      <c r="H221" s="617"/>
      <c r="I221" s="617"/>
      <c r="J221" s="617"/>
      <c r="K221" s="617"/>
      <c r="L221" s="617"/>
      <c r="R221" s="619"/>
      <c r="V221" s="617"/>
    </row>
    <row r="222" spans="1:22" s="618" customFormat="1" x14ac:dyDescent="0.35">
      <c r="A222" s="617"/>
      <c r="B222" s="617"/>
      <c r="C222" s="617"/>
      <c r="D222" s="617"/>
      <c r="E222" s="617"/>
      <c r="F222" s="617"/>
      <c r="G222" s="617"/>
      <c r="H222" s="617"/>
      <c r="I222" s="617"/>
      <c r="J222" s="617"/>
      <c r="K222" s="617"/>
      <c r="L222" s="617"/>
      <c r="R222" s="619"/>
      <c r="V222" s="617"/>
    </row>
    <row r="223" spans="1:22" s="618" customFormat="1" x14ac:dyDescent="0.35">
      <c r="A223" s="617"/>
      <c r="B223" s="617"/>
      <c r="C223" s="617"/>
      <c r="D223" s="617"/>
      <c r="E223" s="617"/>
      <c r="F223" s="617"/>
      <c r="G223" s="617"/>
      <c r="H223" s="617"/>
      <c r="I223" s="617"/>
      <c r="J223" s="617"/>
      <c r="K223" s="617"/>
      <c r="L223" s="617"/>
      <c r="R223" s="619"/>
      <c r="V223" s="617"/>
    </row>
    <row r="224" spans="1:22" s="618" customFormat="1" x14ac:dyDescent="0.35">
      <c r="A224" s="617"/>
      <c r="B224" s="617"/>
      <c r="C224" s="617"/>
      <c r="D224" s="617"/>
      <c r="E224" s="617"/>
      <c r="F224" s="617"/>
      <c r="G224" s="617"/>
      <c r="H224" s="617"/>
      <c r="I224" s="617"/>
      <c r="J224" s="617"/>
      <c r="K224" s="617"/>
      <c r="L224" s="617"/>
      <c r="R224" s="619"/>
      <c r="V224" s="617"/>
    </row>
    <row r="225" spans="1:22" s="618" customFormat="1" x14ac:dyDescent="0.35">
      <c r="A225" s="617"/>
      <c r="B225" s="617"/>
      <c r="C225" s="617"/>
      <c r="D225" s="617"/>
      <c r="E225" s="617"/>
      <c r="F225" s="617"/>
      <c r="G225" s="617"/>
      <c r="H225" s="617"/>
      <c r="I225" s="617"/>
      <c r="J225" s="617"/>
      <c r="K225" s="617"/>
      <c r="L225" s="617"/>
      <c r="R225" s="619"/>
      <c r="V225" s="617"/>
    </row>
    <row r="226" spans="1:22" s="618" customFormat="1" x14ac:dyDescent="0.35">
      <c r="A226" s="617"/>
      <c r="B226" s="617"/>
      <c r="C226" s="617"/>
      <c r="D226" s="617"/>
      <c r="E226" s="617"/>
      <c r="F226" s="617"/>
      <c r="G226" s="617"/>
      <c r="H226" s="617"/>
      <c r="I226" s="617"/>
      <c r="J226" s="617"/>
      <c r="K226" s="617"/>
      <c r="L226" s="617"/>
      <c r="R226" s="619"/>
      <c r="V226" s="617"/>
    </row>
    <row r="227" spans="1:22" s="618" customFormat="1" x14ac:dyDescent="0.35">
      <c r="A227" s="617"/>
      <c r="B227" s="617"/>
      <c r="C227" s="617"/>
      <c r="D227" s="617"/>
      <c r="E227" s="617"/>
      <c r="F227" s="617"/>
      <c r="G227" s="617"/>
      <c r="H227" s="617"/>
      <c r="I227" s="617"/>
      <c r="J227" s="617"/>
      <c r="K227" s="617"/>
      <c r="L227" s="617"/>
      <c r="R227" s="619"/>
      <c r="V227" s="617"/>
    </row>
    <row r="228" spans="1:22" s="618" customFormat="1" x14ac:dyDescent="0.35">
      <c r="A228" s="617"/>
      <c r="B228" s="617"/>
      <c r="C228" s="617"/>
      <c r="D228" s="617"/>
      <c r="E228" s="617"/>
      <c r="F228" s="617"/>
      <c r="G228" s="617"/>
      <c r="H228" s="617"/>
      <c r="I228" s="617"/>
      <c r="J228" s="617"/>
      <c r="K228" s="617"/>
      <c r="L228" s="617"/>
      <c r="R228" s="619"/>
      <c r="V228" s="617"/>
    </row>
    <row r="229" spans="1:22" s="618" customFormat="1" x14ac:dyDescent="0.35">
      <c r="A229" s="617"/>
      <c r="B229" s="617"/>
      <c r="C229" s="617"/>
      <c r="D229" s="617"/>
      <c r="E229" s="617"/>
      <c r="F229" s="617"/>
      <c r="G229" s="617"/>
      <c r="H229" s="617"/>
      <c r="I229" s="617"/>
      <c r="J229" s="617"/>
      <c r="K229" s="617"/>
      <c r="L229" s="617"/>
      <c r="R229" s="619"/>
      <c r="V229" s="617"/>
    </row>
    <row r="230" spans="1:22" s="618" customFormat="1" x14ac:dyDescent="0.35">
      <c r="A230" s="617"/>
      <c r="B230" s="617"/>
      <c r="C230" s="617"/>
      <c r="D230" s="617"/>
      <c r="E230" s="617"/>
      <c r="F230" s="617"/>
      <c r="G230" s="617"/>
      <c r="H230" s="617"/>
      <c r="I230" s="617"/>
      <c r="J230" s="617"/>
      <c r="K230" s="617"/>
      <c r="L230" s="617"/>
      <c r="R230" s="619"/>
      <c r="V230" s="617"/>
    </row>
    <row r="231" spans="1:22" s="618" customFormat="1" x14ac:dyDescent="0.35">
      <c r="A231" s="617"/>
      <c r="B231" s="617"/>
      <c r="C231" s="617"/>
      <c r="D231" s="617"/>
      <c r="E231" s="617"/>
      <c r="F231" s="617"/>
      <c r="G231" s="617"/>
      <c r="H231" s="617"/>
      <c r="I231" s="617"/>
      <c r="J231" s="617"/>
      <c r="K231" s="617"/>
      <c r="L231" s="617"/>
      <c r="R231" s="619"/>
      <c r="V231" s="617"/>
    </row>
    <row r="232" spans="1:22" s="618" customFormat="1" x14ac:dyDescent="0.35">
      <c r="A232" s="617"/>
      <c r="B232" s="617"/>
      <c r="C232" s="617"/>
      <c r="D232" s="617"/>
      <c r="E232" s="617"/>
      <c r="F232" s="617"/>
      <c r="G232" s="617"/>
      <c r="H232" s="617"/>
      <c r="I232" s="617"/>
      <c r="J232" s="617"/>
      <c r="K232" s="617"/>
      <c r="L232" s="617"/>
      <c r="R232" s="619"/>
      <c r="V232" s="617"/>
    </row>
    <row r="233" spans="1:22" s="618" customFormat="1" x14ac:dyDescent="0.35">
      <c r="A233" s="617"/>
      <c r="B233" s="617"/>
      <c r="C233" s="617"/>
      <c r="D233" s="617"/>
      <c r="E233" s="617"/>
      <c r="F233" s="617"/>
      <c r="G233" s="617"/>
      <c r="H233" s="617"/>
      <c r="I233" s="617"/>
      <c r="J233" s="617"/>
      <c r="K233" s="617"/>
      <c r="L233" s="617"/>
      <c r="R233" s="619"/>
      <c r="V233" s="617"/>
    </row>
    <row r="234" spans="1:22" s="618" customFormat="1" x14ac:dyDescent="0.35">
      <c r="A234" s="617"/>
      <c r="B234" s="617"/>
      <c r="C234" s="617"/>
      <c r="D234" s="617"/>
      <c r="E234" s="617"/>
      <c r="F234" s="617"/>
      <c r="G234" s="617"/>
      <c r="H234" s="617"/>
      <c r="I234" s="617"/>
      <c r="J234" s="617"/>
      <c r="K234" s="617"/>
      <c r="L234" s="617"/>
      <c r="R234" s="619"/>
      <c r="V234" s="617"/>
    </row>
    <row r="235" spans="1:22" s="618" customFormat="1" x14ac:dyDescent="0.35">
      <c r="A235" s="617"/>
      <c r="B235" s="617"/>
      <c r="C235" s="617"/>
      <c r="D235" s="617"/>
      <c r="E235" s="617"/>
      <c r="F235" s="617"/>
      <c r="G235" s="617"/>
      <c r="H235" s="617"/>
      <c r="I235" s="617"/>
      <c r="J235" s="617"/>
      <c r="K235" s="617"/>
      <c r="L235" s="617"/>
      <c r="R235" s="619"/>
      <c r="V235" s="617"/>
    </row>
    <row r="236" spans="1:22" s="618" customFormat="1" x14ac:dyDescent="0.35">
      <c r="A236" s="617"/>
      <c r="B236" s="617"/>
      <c r="C236" s="617"/>
      <c r="D236" s="617"/>
      <c r="E236" s="617"/>
      <c r="F236" s="617"/>
      <c r="G236" s="617"/>
      <c r="H236" s="617"/>
      <c r="I236" s="617"/>
      <c r="J236" s="617"/>
      <c r="K236" s="617"/>
      <c r="L236" s="617"/>
      <c r="R236" s="619"/>
      <c r="V236" s="617"/>
    </row>
    <row r="237" spans="1:22" s="618" customFormat="1" x14ac:dyDescent="0.35">
      <c r="A237" s="617"/>
      <c r="B237" s="617"/>
      <c r="C237" s="617"/>
      <c r="D237" s="617"/>
      <c r="E237" s="617"/>
      <c r="F237" s="617"/>
      <c r="G237" s="617"/>
      <c r="H237" s="617"/>
      <c r="I237" s="617"/>
      <c r="J237" s="617"/>
      <c r="K237" s="617"/>
      <c r="L237" s="617"/>
      <c r="R237" s="619"/>
      <c r="V237" s="617"/>
    </row>
    <row r="238" spans="1:22" s="618" customFormat="1" x14ac:dyDescent="0.35">
      <c r="A238" s="617"/>
      <c r="B238" s="617"/>
      <c r="C238" s="617"/>
      <c r="D238" s="617"/>
      <c r="E238" s="617"/>
      <c r="F238" s="617"/>
      <c r="G238" s="617"/>
      <c r="H238" s="617"/>
      <c r="I238" s="617"/>
      <c r="J238" s="617"/>
      <c r="K238" s="617"/>
      <c r="L238" s="617"/>
      <c r="R238" s="619"/>
      <c r="V238" s="617"/>
    </row>
    <row r="239" spans="1:22" s="618" customFormat="1" x14ac:dyDescent="0.35">
      <c r="A239" s="617"/>
      <c r="B239" s="617"/>
      <c r="C239" s="617"/>
      <c r="D239" s="617"/>
      <c r="E239" s="617"/>
      <c r="F239" s="617"/>
      <c r="G239" s="617"/>
      <c r="H239" s="617"/>
      <c r="I239" s="617"/>
      <c r="J239" s="617"/>
      <c r="K239" s="617"/>
      <c r="L239" s="617"/>
      <c r="R239" s="619"/>
      <c r="V239" s="617"/>
    </row>
    <row r="240" spans="1:22" s="618" customFormat="1" x14ac:dyDescent="0.35">
      <c r="A240" s="617"/>
      <c r="B240" s="617"/>
      <c r="C240" s="617"/>
      <c r="D240" s="617"/>
      <c r="E240" s="617"/>
      <c r="F240" s="617"/>
      <c r="G240" s="617"/>
      <c r="H240" s="617"/>
      <c r="I240" s="617"/>
      <c r="J240" s="617"/>
      <c r="K240" s="617"/>
      <c r="L240" s="617"/>
      <c r="R240" s="619"/>
      <c r="V240" s="617"/>
    </row>
    <row r="241" spans="1:22" s="618" customFormat="1" x14ac:dyDescent="0.35">
      <c r="A241" s="617"/>
      <c r="B241" s="617"/>
      <c r="C241" s="617"/>
      <c r="D241" s="617"/>
      <c r="E241" s="617"/>
      <c r="F241" s="617"/>
      <c r="G241" s="617"/>
      <c r="H241" s="617"/>
      <c r="I241" s="617"/>
      <c r="J241" s="617"/>
      <c r="K241" s="617"/>
      <c r="L241" s="617"/>
      <c r="R241" s="619"/>
      <c r="V241" s="617"/>
    </row>
    <row r="242" spans="1:22" s="618" customFormat="1" x14ac:dyDescent="0.35">
      <c r="A242" s="617"/>
      <c r="B242" s="617"/>
      <c r="C242" s="617"/>
      <c r="D242" s="617"/>
      <c r="E242" s="617"/>
      <c r="F242" s="617"/>
      <c r="G242" s="617"/>
      <c r="H242" s="617"/>
      <c r="I242" s="617"/>
      <c r="J242" s="617"/>
      <c r="K242" s="617"/>
      <c r="L242" s="617"/>
      <c r="R242" s="619"/>
      <c r="V242" s="617"/>
    </row>
    <row r="243" spans="1:22" s="618" customFormat="1" x14ac:dyDescent="0.35">
      <c r="A243" s="617"/>
      <c r="B243" s="617"/>
      <c r="C243" s="617"/>
      <c r="D243" s="617"/>
      <c r="E243" s="617"/>
      <c r="F243" s="617"/>
      <c r="G243" s="617"/>
      <c r="H243" s="617"/>
      <c r="I243" s="617"/>
      <c r="J243" s="617"/>
      <c r="K243" s="617"/>
      <c r="L243" s="617"/>
      <c r="R243" s="619"/>
      <c r="V243" s="617"/>
    </row>
    <row r="244" spans="1:22" s="618" customFormat="1" x14ac:dyDescent="0.35">
      <c r="A244" s="617"/>
      <c r="B244" s="617"/>
      <c r="C244" s="617"/>
      <c r="D244" s="617"/>
      <c r="E244" s="617"/>
      <c r="F244" s="617"/>
      <c r="G244" s="617"/>
      <c r="H244" s="617"/>
      <c r="I244" s="617"/>
      <c r="J244" s="617"/>
      <c r="K244" s="617"/>
      <c r="L244" s="617"/>
      <c r="R244" s="619"/>
      <c r="V244" s="617"/>
    </row>
    <row r="245" spans="1:22" s="618" customFormat="1" x14ac:dyDescent="0.35">
      <c r="A245" s="617"/>
      <c r="B245" s="617"/>
      <c r="C245" s="617"/>
      <c r="D245" s="617"/>
      <c r="E245" s="617"/>
      <c r="F245" s="617"/>
      <c r="G245" s="617"/>
      <c r="H245" s="617"/>
      <c r="I245" s="617"/>
      <c r="J245" s="617"/>
      <c r="K245" s="617"/>
      <c r="L245" s="617"/>
      <c r="R245" s="619"/>
      <c r="V245" s="617"/>
    </row>
    <row r="246" spans="1:22" s="618" customFormat="1" x14ac:dyDescent="0.35">
      <c r="A246" s="617"/>
      <c r="B246" s="617"/>
      <c r="C246" s="617"/>
      <c r="D246" s="617"/>
      <c r="E246" s="617"/>
      <c r="F246" s="617"/>
      <c r="G246" s="617"/>
      <c r="H246" s="617"/>
      <c r="I246" s="617"/>
      <c r="J246" s="617"/>
      <c r="K246" s="617"/>
      <c r="L246" s="617"/>
      <c r="R246" s="619"/>
      <c r="V246" s="617"/>
    </row>
    <row r="247" spans="1:22" s="618" customFormat="1" x14ac:dyDescent="0.35">
      <c r="A247" s="617"/>
      <c r="B247" s="617"/>
      <c r="C247" s="617"/>
      <c r="D247" s="617"/>
      <c r="E247" s="617"/>
      <c r="F247" s="617"/>
      <c r="G247" s="617"/>
      <c r="H247" s="617"/>
      <c r="I247" s="617"/>
      <c r="J247" s="617"/>
      <c r="K247" s="617"/>
      <c r="L247" s="617"/>
      <c r="R247" s="619"/>
      <c r="V247" s="617"/>
    </row>
    <row r="248" spans="1:22" s="618" customFormat="1" x14ac:dyDescent="0.35">
      <c r="A248" s="617"/>
      <c r="B248" s="617"/>
      <c r="C248" s="617"/>
      <c r="D248" s="617"/>
      <c r="E248" s="617"/>
      <c r="F248" s="617"/>
      <c r="G248" s="617"/>
      <c r="H248" s="617"/>
      <c r="I248" s="617"/>
      <c r="J248" s="617"/>
      <c r="K248" s="617"/>
      <c r="L248" s="617"/>
      <c r="R248" s="619"/>
      <c r="V248" s="617"/>
    </row>
    <row r="249" spans="1:22" s="618" customFormat="1" x14ac:dyDescent="0.35">
      <c r="A249" s="617"/>
      <c r="B249" s="617"/>
      <c r="C249" s="617"/>
      <c r="D249" s="617"/>
      <c r="E249" s="617"/>
      <c r="F249" s="617"/>
      <c r="G249" s="617"/>
      <c r="H249" s="617"/>
      <c r="I249" s="617"/>
      <c r="J249" s="617"/>
      <c r="K249" s="617"/>
      <c r="L249" s="617"/>
      <c r="R249" s="619"/>
      <c r="V249" s="617"/>
    </row>
    <row r="250" spans="1:22" s="618" customFormat="1" x14ac:dyDescent="0.35">
      <c r="A250" s="617"/>
      <c r="B250" s="617"/>
      <c r="C250" s="617"/>
      <c r="D250" s="617"/>
      <c r="E250" s="617"/>
      <c r="F250" s="617"/>
      <c r="G250" s="617"/>
      <c r="H250" s="617"/>
      <c r="I250" s="617"/>
      <c r="J250" s="617"/>
      <c r="K250" s="617"/>
      <c r="L250" s="617"/>
      <c r="R250" s="619"/>
      <c r="V250" s="617"/>
    </row>
    <row r="251" spans="1:22" s="618" customFormat="1" x14ac:dyDescent="0.35">
      <c r="A251" s="617"/>
      <c r="B251" s="617"/>
      <c r="C251" s="617"/>
      <c r="D251" s="617"/>
      <c r="E251" s="617"/>
      <c r="F251" s="617"/>
      <c r="G251" s="617"/>
      <c r="H251" s="617"/>
      <c r="I251" s="617"/>
      <c r="J251" s="617"/>
      <c r="K251" s="617"/>
      <c r="L251" s="617"/>
      <c r="R251" s="619"/>
      <c r="V251" s="617"/>
    </row>
    <row r="252" spans="1:22" s="618" customFormat="1" x14ac:dyDescent="0.35">
      <c r="A252" s="617"/>
      <c r="B252" s="617"/>
      <c r="C252" s="617"/>
      <c r="D252" s="617"/>
      <c r="E252" s="617"/>
      <c r="F252" s="617"/>
      <c r="G252" s="617"/>
      <c r="H252" s="617"/>
      <c r="I252" s="617"/>
      <c r="J252" s="617"/>
      <c r="K252" s="617"/>
      <c r="L252" s="617"/>
      <c r="R252" s="619"/>
      <c r="V252" s="617"/>
    </row>
    <row r="253" spans="1:22" s="618" customFormat="1" x14ac:dyDescent="0.35">
      <c r="A253" s="617"/>
      <c r="B253" s="617"/>
      <c r="C253" s="617"/>
      <c r="D253" s="617"/>
      <c r="E253" s="617"/>
      <c r="F253" s="617"/>
      <c r="G253" s="617"/>
      <c r="H253" s="617"/>
      <c r="I253" s="617"/>
      <c r="J253" s="617"/>
      <c r="K253" s="617"/>
      <c r="L253" s="617"/>
      <c r="R253" s="619"/>
      <c r="V253" s="617"/>
    </row>
    <row r="254" spans="1:22" s="618" customFormat="1" x14ac:dyDescent="0.35">
      <c r="A254" s="617"/>
      <c r="B254" s="617"/>
      <c r="C254" s="617"/>
      <c r="D254" s="617"/>
      <c r="E254" s="617"/>
      <c r="F254" s="617"/>
      <c r="G254" s="617"/>
      <c r="H254" s="617"/>
      <c r="I254" s="617"/>
      <c r="J254" s="617"/>
      <c r="K254" s="617"/>
      <c r="L254" s="617"/>
      <c r="R254" s="619"/>
      <c r="V254" s="617"/>
    </row>
    <row r="255" spans="1:22" s="618" customFormat="1" x14ac:dyDescent="0.35">
      <c r="A255" s="617"/>
      <c r="B255" s="617"/>
      <c r="C255" s="617"/>
      <c r="D255" s="617"/>
      <c r="E255" s="617"/>
      <c r="F255" s="617"/>
      <c r="G255" s="617"/>
      <c r="H255" s="617"/>
      <c r="I255" s="617"/>
      <c r="J255" s="617"/>
      <c r="K255" s="617"/>
      <c r="L255" s="617"/>
      <c r="R255" s="619"/>
      <c r="V255" s="617"/>
    </row>
    <row r="256" spans="1:22" s="618" customFormat="1" x14ac:dyDescent="0.35">
      <c r="A256" s="617"/>
      <c r="B256" s="617"/>
      <c r="C256" s="617"/>
      <c r="D256" s="617"/>
      <c r="E256" s="617"/>
      <c r="F256" s="617"/>
      <c r="G256" s="617"/>
      <c r="H256" s="617"/>
      <c r="I256" s="617"/>
      <c r="J256" s="617"/>
      <c r="K256" s="617"/>
      <c r="L256" s="617"/>
      <c r="R256" s="619"/>
      <c r="V256" s="617"/>
    </row>
    <row r="257" spans="1:22" s="618" customFormat="1" x14ac:dyDescent="0.35">
      <c r="A257" s="617"/>
      <c r="B257" s="617"/>
      <c r="C257" s="617"/>
      <c r="D257" s="617"/>
      <c r="E257" s="617"/>
      <c r="F257" s="617"/>
      <c r="G257" s="617"/>
      <c r="H257" s="617"/>
      <c r="I257" s="617"/>
      <c r="J257" s="617"/>
      <c r="K257" s="617"/>
      <c r="L257" s="617"/>
      <c r="R257" s="619"/>
      <c r="V257" s="617"/>
    </row>
    <row r="258" spans="1:22" s="618" customFormat="1" x14ac:dyDescent="0.35">
      <c r="A258" s="617"/>
      <c r="B258" s="617"/>
      <c r="C258" s="617"/>
      <c r="D258" s="617"/>
      <c r="E258" s="617"/>
      <c r="F258" s="617"/>
      <c r="G258" s="617"/>
      <c r="H258" s="617"/>
      <c r="I258" s="617"/>
      <c r="J258" s="617"/>
      <c r="K258" s="617"/>
      <c r="L258" s="617"/>
      <c r="R258" s="619"/>
      <c r="V258" s="617"/>
    </row>
    <row r="259" spans="1:22" s="618" customFormat="1" x14ac:dyDescent="0.35">
      <c r="A259" s="617"/>
      <c r="B259" s="617"/>
      <c r="C259" s="617"/>
      <c r="D259" s="617"/>
      <c r="E259" s="617"/>
      <c r="F259" s="617"/>
      <c r="G259" s="617"/>
      <c r="H259" s="617"/>
      <c r="I259" s="617"/>
      <c r="J259" s="617"/>
      <c r="K259" s="617"/>
      <c r="L259" s="617"/>
      <c r="R259" s="619"/>
      <c r="V259" s="617"/>
    </row>
    <row r="260" spans="1:22" s="618" customFormat="1" x14ac:dyDescent="0.35">
      <c r="A260" s="617"/>
      <c r="B260" s="617"/>
      <c r="C260" s="617"/>
      <c r="D260" s="617"/>
      <c r="E260" s="617"/>
      <c r="F260" s="617"/>
      <c r="G260" s="617"/>
      <c r="H260" s="617"/>
      <c r="I260" s="617"/>
      <c r="J260" s="617"/>
      <c r="K260" s="617"/>
      <c r="L260" s="617"/>
      <c r="R260" s="619"/>
      <c r="V260" s="617"/>
    </row>
    <row r="261" spans="1:22" s="618" customFormat="1" x14ac:dyDescent="0.35">
      <c r="A261" s="617"/>
      <c r="B261" s="617"/>
      <c r="C261" s="617"/>
      <c r="D261" s="617"/>
      <c r="E261" s="617"/>
      <c r="F261" s="617"/>
      <c r="G261" s="617"/>
      <c r="H261" s="617"/>
      <c r="I261" s="617"/>
      <c r="J261" s="617"/>
      <c r="K261" s="617"/>
      <c r="L261" s="617"/>
      <c r="R261" s="619"/>
      <c r="V261" s="617"/>
    </row>
    <row r="262" spans="1:22" s="618" customFormat="1" x14ac:dyDescent="0.35">
      <c r="A262" s="617"/>
      <c r="B262" s="617"/>
      <c r="C262" s="617"/>
      <c r="D262" s="617"/>
      <c r="E262" s="617"/>
      <c r="F262" s="954"/>
      <c r="G262" s="617"/>
      <c r="H262" s="634"/>
      <c r="I262" s="634"/>
      <c r="J262" s="617"/>
      <c r="K262" s="617"/>
      <c r="R262" s="619"/>
      <c r="V262" s="617"/>
    </row>
  </sheetData>
  <sheetProtection algorithmName="SHA-512" hashValue="AGuTYGX/hETFvR+7YyetufQfKOn3HhZEtlE3dhv/97TRHiZ8Bu1RkwDqkP3GgfUdgasGF3M2r2VRwinoJPBX3A==" saltValue="2N1ZslIRlyMYQbeqtSE9Vg==" spinCount="100000" sheet="1"/>
  <mergeCells count="8">
    <mergeCell ref="B39:C39"/>
    <mergeCell ref="B1:E1"/>
    <mergeCell ref="H1:M1"/>
    <mergeCell ref="A9:Q9"/>
    <mergeCell ref="A28:Q28"/>
    <mergeCell ref="A37:Q37"/>
    <mergeCell ref="D11:E11"/>
    <mergeCell ref="D30:E30"/>
  </mergeCells>
  <pageMargins left="0.7" right="0.7" top="0.75" bottom="0.75" header="0.3" footer="0.3"/>
  <pageSetup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0D2C-9D52-4E8C-B165-1B9DD906ECF0}">
  <sheetPr>
    <tabColor rgb="FF009999"/>
  </sheetPr>
  <dimension ref="A1:Y31"/>
  <sheetViews>
    <sheetView zoomScale="70" zoomScaleNormal="70" workbookViewId="0">
      <selection activeCell="J2" sqref="J2"/>
    </sheetView>
  </sheetViews>
  <sheetFormatPr baseColWidth="10" defaultColWidth="9.1796875" defaultRowHeight="14.5" x14ac:dyDescent="0.35"/>
  <cols>
    <col min="1" max="1" width="23.81640625" style="689" customWidth="1"/>
    <col min="2" max="2" width="17" style="689" customWidth="1"/>
    <col min="3" max="3" width="19.1796875" style="689" bestFit="1" customWidth="1"/>
    <col min="4" max="4" width="14.81640625" style="689" bestFit="1" customWidth="1"/>
    <col min="5" max="5" width="17" style="689" bestFit="1" customWidth="1"/>
    <col min="6" max="6" width="14.81640625" style="689" customWidth="1"/>
    <col min="7" max="7" width="16.453125" style="689" customWidth="1"/>
    <col min="8" max="8" width="14.26953125" style="689" bestFit="1" customWidth="1"/>
    <col min="9" max="9" width="13.81640625" style="689" customWidth="1"/>
    <col min="10" max="10" width="21.54296875" style="689" bestFit="1" customWidth="1"/>
    <col min="11" max="11" width="14.453125" style="689" customWidth="1"/>
    <col min="12" max="25" width="15.7265625" style="1014" customWidth="1"/>
    <col min="26" max="26" width="15.7265625" style="689" customWidth="1"/>
    <col min="27" max="16384" width="9.1796875" style="689"/>
  </cols>
  <sheetData>
    <row r="1" spans="1:25" ht="76.5" customHeight="1" thickBot="1" x14ac:dyDescent="0.4">
      <c r="A1" s="747" t="s">
        <v>939</v>
      </c>
      <c r="B1" s="1592" t="s">
        <v>940</v>
      </c>
      <c r="C1" s="1593"/>
      <c r="D1" s="1593"/>
      <c r="E1" s="1593"/>
      <c r="F1" s="1593"/>
      <c r="G1" s="1594"/>
      <c r="I1" s="696"/>
      <c r="J1" s="696"/>
      <c r="K1" s="696"/>
      <c r="M1" s="1500" t="s">
        <v>318</v>
      </c>
      <c r="N1" s="1501"/>
      <c r="O1" s="1501"/>
      <c r="P1" s="1501"/>
      <c r="Q1" s="1501"/>
      <c r="R1" s="1502"/>
    </row>
    <row r="2" spans="1:25" x14ac:dyDescent="0.35">
      <c r="B2" s="1053"/>
      <c r="M2" s="831" t="s">
        <v>319</v>
      </c>
      <c r="N2" s="832"/>
      <c r="O2" s="833" t="s">
        <v>320</v>
      </c>
      <c r="P2" s="1054"/>
      <c r="Q2" s="833" t="s">
        <v>321</v>
      </c>
      <c r="R2" s="1055"/>
    </row>
    <row r="3" spans="1:25" x14ac:dyDescent="0.35">
      <c r="B3" s="1053"/>
      <c r="S3" s="1015"/>
      <c r="T3" s="1016"/>
      <c r="U3" s="1015"/>
      <c r="V3" s="1056"/>
      <c r="W3" s="1015"/>
      <c r="X3" s="1056"/>
    </row>
    <row r="4" spans="1:25" ht="37" x14ac:dyDescent="0.35">
      <c r="A4" s="810"/>
      <c r="B4" s="615" t="s">
        <v>1825</v>
      </c>
      <c r="F4" s="1014"/>
      <c r="G4" s="1591"/>
      <c r="H4" s="1591"/>
      <c r="I4" s="1057"/>
      <c r="J4" s="1057"/>
      <c r="K4" s="1057"/>
      <c r="M4" s="1015"/>
      <c r="N4" s="1016"/>
      <c r="O4" s="1015"/>
      <c r="P4" s="1056"/>
      <c r="Q4" s="1015"/>
      <c r="R4" s="1056"/>
      <c r="T4" s="689"/>
      <c r="U4" s="689"/>
      <c r="V4" s="689"/>
      <c r="W4" s="689"/>
      <c r="X4" s="689"/>
      <c r="Y4" s="689"/>
    </row>
    <row r="5" spans="1:25" ht="37" x14ac:dyDescent="0.35">
      <c r="A5" s="615" t="s">
        <v>941</v>
      </c>
      <c r="B5" s="811">
        <f>SUM(M9:M28)</f>
        <v>0</v>
      </c>
      <c r="E5" s="1058"/>
      <c r="F5" s="1058"/>
      <c r="G5" s="1058"/>
      <c r="H5" s="1058"/>
      <c r="I5" s="1058"/>
      <c r="J5" s="1057"/>
      <c r="K5" s="1057"/>
      <c r="M5" s="1015"/>
      <c r="N5" s="1016"/>
      <c r="O5" s="1015"/>
      <c r="P5" s="1056"/>
      <c r="Q5" s="1015"/>
      <c r="R5" s="689"/>
      <c r="S5" s="689"/>
      <c r="T5" s="689"/>
      <c r="U5" s="689"/>
      <c r="V5" s="689"/>
      <c r="W5" s="689"/>
      <c r="X5" s="689"/>
      <c r="Y5" s="689"/>
    </row>
    <row r="6" spans="1:25" ht="15" customHeight="1" x14ac:dyDescent="0.35">
      <c r="A6" s="1059"/>
      <c r="B6" s="1059"/>
      <c r="I6" s="1053"/>
      <c r="S6" s="1015"/>
      <c r="T6" s="1016"/>
      <c r="U6" s="1015"/>
      <c r="V6" s="1056"/>
      <c r="W6" s="1015"/>
      <c r="X6" s="689"/>
      <c r="Y6" s="689"/>
    </row>
    <row r="7" spans="1:25" s="667" customFormat="1" ht="24" thickBot="1" x14ac:dyDescent="0.6">
      <c r="A7" s="648"/>
      <c r="C7" s="1477" t="s">
        <v>330</v>
      </c>
      <c r="D7" s="1478"/>
      <c r="K7" s="1035"/>
      <c r="L7" s="1035"/>
      <c r="M7" s="1035"/>
      <c r="N7" s="1035"/>
      <c r="O7" s="1035"/>
      <c r="P7" s="1035"/>
      <c r="Q7" s="1035"/>
      <c r="R7" s="1035"/>
      <c r="S7" s="1035"/>
      <c r="T7" s="1035"/>
      <c r="U7" s="1035"/>
      <c r="V7" s="1035"/>
      <c r="W7" s="1035"/>
      <c r="X7" s="1035"/>
    </row>
    <row r="8" spans="1:25" ht="62" x14ac:dyDescent="0.35">
      <c r="A8" s="697" t="s">
        <v>331</v>
      </c>
      <c r="B8" s="672" t="s">
        <v>942</v>
      </c>
      <c r="C8" s="672" t="s">
        <v>943</v>
      </c>
      <c r="D8" s="672" t="s">
        <v>944</v>
      </c>
      <c r="E8" s="672" t="s">
        <v>945</v>
      </c>
      <c r="F8" s="672" t="s">
        <v>946</v>
      </c>
      <c r="G8" s="720" t="s">
        <v>340</v>
      </c>
      <c r="H8" s="720" t="s">
        <v>1702</v>
      </c>
      <c r="I8" s="672" t="s">
        <v>334</v>
      </c>
      <c r="J8" s="672" t="s">
        <v>1825</v>
      </c>
      <c r="K8" s="672" t="s">
        <v>1826</v>
      </c>
      <c r="L8" s="718" t="s">
        <v>1827</v>
      </c>
      <c r="M8" s="911" t="s">
        <v>1825</v>
      </c>
      <c r="N8" s="689"/>
      <c r="O8" s="689"/>
      <c r="P8" s="689"/>
      <c r="Q8" s="689"/>
      <c r="R8" s="689"/>
      <c r="S8" s="689"/>
      <c r="T8" s="689"/>
      <c r="U8" s="689"/>
      <c r="V8" s="689"/>
      <c r="W8" s="689"/>
      <c r="X8" s="689"/>
      <c r="Y8" s="689"/>
    </row>
    <row r="9" spans="1:25" ht="15.5" x14ac:dyDescent="0.35">
      <c r="A9" s="817"/>
      <c r="B9" s="817"/>
      <c r="C9" s="817"/>
      <c r="D9" s="1060" t="str">
        <f>IFERROR(B9/C9,"0")</f>
        <v>0</v>
      </c>
      <c r="E9" s="817"/>
      <c r="F9" s="818">
        <f>IFERROR(D9*E9," ")</f>
        <v>0</v>
      </c>
      <c r="G9" s="968">
        <f>'Emission Factors'!F672</f>
        <v>9.5657399999999999</v>
      </c>
      <c r="H9" s="677">
        <f>(F9/G9)*0.001</f>
        <v>0</v>
      </c>
      <c r="I9" s="677">
        <f>H9*'Emission Factors'!$B$688</f>
        <v>0</v>
      </c>
      <c r="J9" s="677">
        <f>$I9*'Emission Factors'!$C$688*0.001</f>
        <v>0</v>
      </c>
      <c r="K9" s="677">
        <f>$I9*'Emission Factors'!$D$688*0.001</f>
        <v>0</v>
      </c>
      <c r="L9" s="677">
        <f>$I9*'Emission Factors'!$E$688*0.001</f>
        <v>0</v>
      </c>
      <c r="M9" s="965">
        <f t="shared" ref="M9:M28" si="0">J9+K9+L9</f>
        <v>0</v>
      </c>
      <c r="N9" s="689"/>
      <c r="O9" s="689"/>
      <c r="P9" s="689"/>
      <c r="Q9" s="689"/>
      <c r="R9" s="689"/>
      <c r="S9" s="689"/>
      <c r="T9" s="689"/>
      <c r="U9" s="689"/>
      <c r="V9" s="689"/>
      <c r="W9" s="689"/>
      <c r="X9" s="689"/>
      <c r="Y9" s="689"/>
    </row>
    <row r="10" spans="1:25" ht="15.5" x14ac:dyDescent="0.35">
      <c r="A10" s="817"/>
      <c r="B10" s="817"/>
      <c r="C10" s="817"/>
      <c r="D10" s="1060" t="str">
        <f t="shared" ref="D10:D28" si="1">IFERROR(B10/C10,"0")</f>
        <v>0</v>
      </c>
      <c r="E10" s="817"/>
      <c r="F10" s="818">
        <f t="shared" ref="F10:F28" si="2">IFERROR(D10*E10," ")</f>
        <v>0</v>
      </c>
      <c r="G10" s="968">
        <v>9.5657329999999998</v>
      </c>
      <c r="H10" s="677">
        <f t="shared" ref="H10:H28" si="3">(F10/G10)*0.001</f>
        <v>0</v>
      </c>
      <c r="I10" s="677">
        <f>H10*'Emission Factors'!$B$688</f>
        <v>0</v>
      </c>
      <c r="J10" s="677">
        <f>$I10*'Emission Factors'!$C$688*0.001</f>
        <v>0</v>
      </c>
      <c r="K10" s="677">
        <f>$I10*'Emission Factors'!$D$688*0.001</f>
        <v>0</v>
      </c>
      <c r="L10" s="677">
        <f>$I10*'Emission Factors'!$E$688*0.001</f>
        <v>0</v>
      </c>
      <c r="M10" s="965">
        <f t="shared" si="0"/>
        <v>0</v>
      </c>
      <c r="N10" s="689"/>
      <c r="O10" s="689"/>
      <c r="P10" s="689"/>
      <c r="Q10" s="689"/>
      <c r="R10" s="689"/>
      <c r="S10" s="689"/>
      <c r="T10" s="689"/>
      <c r="U10" s="689"/>
      <c r="V10" s="689"/>
      <c r="W10" s="689"/>
      <c r="X10" s="689"/>
      <c r="Y10" s="689"/>
    </row>
    <row r="11" spans="1:25" ht="15.5" x14ac:dyDescent="0.35">
      <c r="A11" s="817"/>
      <c r="B11" s="817"/>
      <c r="C11" s="817"/>
      <c r="D11" s="1060" t="str">
        <f t="shared" si="1"/>
        <v>0</v>
      </c>
      <c r="E11" s="817"/>
      <c r="F11" s="818">
        <f t="shared" si="2"/>
        <v>0</v>
      </c>
      <c r="G11" s="968">
        <v>9.5657329999999998</v>
      </c>
      <c r="H11" s="677">
        <f t="shared" si="3"/>
        <v>0</v>
      </c>
      <c r="I11" s="677">
        <f>H11*'Emission Factors'!$B$688</f>
        <v>0</v>
      </c>
      <c r="J11" s="677">
        <f>$I11*'Emission Factors'!$C$688*0.001</f>
        <v>0</v>
      </c>
      <c r="K11" s="677">
        <f>$I11*'Emission Factors'!$D$688*0.001</f>
        <v>0</v>
      </c>
      <c r="L11" s="677">
        <f>$I11*'Emission Factors'!$E$688*0.001</f>
        <v>0</v>
      </c>
      <c r="M11" s="965">
        <f t="shared" si="0"/>
        <v>0</v>
      </c>
      <c r="N11" s="689"/>
      <c r="O11" s="689"/>
      <c r="P11" s="689"/>
      <c r="Q11" s="689"/>
      <c r="R11" s="689"/>
      <c r="S11" s="689"/>
      <c r="T11" s="689"/>
      <c r="U11" s="689"/>
      <c r="V11" s="689"/>
      <c r="W11" s="689"/>
      <c r="X11" s="689"/>
      <c r="Y11" s="689"/>
    </row>
    <row r="12" spans="1:25" ht="15.5" x14ac:dyDescent="0.35">
      <c r="A12" s="817"/>
      <c r="B12" s="817"/>
      <c r="C12" s="817"/>
      <c r="D12" s="1060" t="str">
        <f t="shared" si="1"/>
        <v>0</v>
      </c>
      <c r="E12" s="817"/>
      <c r="F12" s="818">
        <f t="shared" si="2"/>
        <v>0</v>
      </c>
      <c r="G12" s="968">
        <v>9.5657329999999998</v>
      </c>
      <c r="H12" s="677">
        <f t="shared" si="3"/>
        <v>0</v>
      </c>
      <c r="I12" s="677">
        <f>H12*'Emission Factors'!$B$688</f>
        <v>0</v>
      </c>
      <c r="J12" s="677">
        <f>$I12*'Emission Factors'!$C$688*0.001</f>
        <v>0</v>
      </c>
      <c r="K12" s="677">
        <f>$I12*'Emission Factors'!$D$688*0.001</f>
        <v>0</v>
      </c>
      <c r="L12" s="677">
        <f>$I12*'Emission Factors'!$E$688*0.001</f>
        <v>0</v>
      </c>
      <c r="M12" s="965">
        <f t="shared" si="0"/>
        <v>0</v>
      </c>
      <c r="N12" s="689"/>
      <c r="O12" s="689"/>
      <c r="P12" s="689"/>
      <c r="Q12" s="689"/>
      <c r="R12" s="689"/>
      <c r="S12" s="689"/>
      <c r="T12" s="689"/>
      <c r="U12" s="689"/>
      <c r="V12" s="689"/>
      <c r="W12" s="689"/>
      <c r="X12" s="689"/>
      <c r="Y12" s="689"/>
    </row>
    <row r="13" spans="1:25" ht="15.5" x14ac:dyDescent="0.35">
      <c r="A13" s="817"/>
      <c r="B13" s="817"/>
      <c r="C13" s="817"/>
      <c r="D13" s="1060" t="str">
        <f t="shared" si="1"/>
        <v>0</v>
      </c>
      <c r="E13" s="817"/>
      <c r="F13" s="818">
        <f t="shared" si="2"/>
        <v>0</v>
      </c>
      <c r="G13" s="968">
        <v>9.5657329999999998</v>
      </c>
      <c r="H13" s="677">
        <f t="shared" si="3"/>
        <v>0</v>
      </c>
      <c r="I13" s="677">
        <f>H13*'Emission Factors'!$B$688</f>
        <v>0</v>
      </c>
      <c r="J13" s="677">
        <f>$I13*'Emission Factors'!$C$688*0.001</f>
        <v>0</v>
      </c>
      <c r="K13" s="677">
        <f>$I13*'Emission Factors'!$D$688*0.001</f>
        <v>0</v>
      </c>
      <c r="L13" s="677">
        <f>$I13*'Emission Factors'!$E$688*0.001</f>
        <v>0</v>
      </c>
      <c r="M13" s="965">
        <f t="shared" si="0"/>
        <v>0</v>
      </c>
      <c r="N13" s="689"/>
      <c r="O13" s="689"/>
      <c r="P13" s="689"/>
      <c r="Q13" s="689"/>
      <c r="R13" s="689"/>
      <c r="S13" s="689"/>
      <c r="T13" s="689"/>
      <c r="U13" s="689"/>
      <c r="V13" s="689"/>
      <c r="W13" s="689"/>
      <c r="X13" s="689"/>
      <c r="Y13" s="689"/>
    </row>
    <row r="14" spans="1:25" ht="15.5" x14ac:dyDescent="0.35">
      <c r="A14" s="817"/>
      <c r="B14" s="817"/>
      <c r="C14" s="817"/>
      <c r="D14" s="1060" t="str">
        <f t="shared" si="1"/>
        <v>0</v>
      </c>
      <c r="E14" s="817"/>
      <c r="F14" s="818">
        <f t="shared" si="2"/>
        <v>0</v>
      </c>
      <c r="G14" s="968">
        <v>9.5657329999999998</v>
      </c>
      <c r="H14" s="677">
        <f t="shared" si="3"/>
        <v>0</v>
      </c>
      <c r="I14" s="677">
        <f>H14*'Emission Factors'!$B$688</f>
        <v>0</v>
      </c>
      <c r="J14" s="677">
        <f>$I14*'Emission Factors'!$C$688*0.001</f>
        <v>0</v>
      </c>
      <c r="K14" s="677">
        <f>$I14*'Emission Factors'!$D$688*0.001</f>
        <v>0</v>
      </c>
      <c r="L14" s="677">
        <f>$I14*'Emission Factors'!$E$688*0.001</f>
        <v>0</v>
      </c>
      <c r="M14" s="965">
        <f t="shared" si="0"/>
        <v>0</v>
      </c>
      <c r="N14" s="689"/>
      <c r="O14" s="689"/>
      <c r="P14" s="689"/>
      <c r="Q14" s="689"/>
      <c r="R14" s="689"/>
      <c r="S14" s="689"/>
      <c r="T14" s="689"/>
      <c r="U14" s="689"/>
      <c r="V14" s="689"/>
      <c r="W14" s="689"/>
      <c r="X14" s="689"/>
      <c r="Y14" s="689"/>
    </row>
    <row r="15" spans="1:25" ht="15.5" x14ac:dyDescent="0.35">
      <c r="A15" s="817"/>
      <c r="B15" s="817"/>
      <c r="C15" s="817"/>
      <c r="D15" s="1060" t="str">
        <f t="shared" si="1"/>
        <v>0</v>
      </c>
      <c r="E15" s="817"/>
      <c r="F15" s="818">
        <f t="shared" si="2"/>
        <v>0</v>
      </c>
      <c r="G15" s="968">
        <v>9.5657329999999998</v>
      </c>
      <c r="H15" s="677">
        <f t="shared" si="3"/>
        <v>0</v>
      </c>
      <c r="I15" s="677">
        <f>H15*'Emission Factors'!$B$688</f>
        <v>0</v>
      </c>
      <c r="J15" s="677">
        <f>$I15*'Emission Factors'!$C$688*0.001</f>
        <v>0</v>
      </c>
      <c r="K15" s="677">
        <f>$I15*'Emission Factors'!$D$688*0.001</f>
        <v>0</v>
      </c>
      <c r="L15" s="677">
        <f>$I15*'Emission Factors'!$E$688*0.001</f>
        <v>0</v>
      </c>
      <c r="M15" s="965">
        <f t="shared" si="0"/>
        <v>0</v>
      </c>
      <c r="N15" s="689"/>
      <c r="O15" s="689"/>
      <c r="P15" s="689"/>
      <c r="Q15" s="689"/>
      <c r="R15" s="689"/>
      <c r="S15" s="689"/>
      <c r="T15" s="689"/>
      <c r="U15" s="689"/>
      <c r="V15" s="689"/>
      <c r="W15" s="689"/>
      <c r="X15" s="689"/>
      <c r="Y15" s="689"/>
    </row>
    <row r="16" spans="1:25" ht="15.5" x14ac:dyDescent="0.35">
      <c r="A16" s="817"/>
      <c r="B16" s="817"/>
      <c r="C16" s="817"/>
      <c r="D16" s="1060" t="str">
        <f t="shared" si="1"/>
        <v>0</v>
      </c>
      <c r="E16" s="817"/>
      <c r="F16" s="818">
        <f t="shared" si="2"/>
        <v>0</v>
      </c>
      <c r="G16" s="968">
        <v>9.5657329999999998</v>
      </c>
      <c r="H16" s="677">
        <f t="shared" si="3"/>
        <v>0</v>
      </c>
      <c r="I16" s="677">
        <f>H16*'Emission Factors'!$B$688</f>
        <v>0</v>
      </c>
      <c r="J16" s="677">
        <f>$I16*'Emission Factors'!$C$688*0.001</f>
        <v>0</v>
      </c>
      <c r="K16" s="677">
        <f>$I16*'Emission Factors'!$D$688*0.001</f>
        <v>0</v>
      </c>
      <c r="L16" s="677">
        <f>$I16*'Emission Factors'!$E$688*0.001</f>
        <v>0</v>
      </c>
      <c r="M16" s="965">
        <f t="shared" si="0"/>
        <v>0</v>
      </c>
      <c r="N16" s="689"/>
      <c r="O16" s="689"/>
      <c r="P16" s="689"/>
      <c r="Q16" s="689"/>
      <c r="R16" s="689"/>
      <c r="S16" s="689"/>
      <c r="T16" s="689"/>
      <c r="U16" s="689"/>
      <c r="V16" s="689"/>
      <c r="W16" s="689"/>
      <c r="X16" s="689"/>
      <c r="Y16" s="689"/>
    </row>
    <row r="17" spans="1:25" ht="15.5" x14ac:dyDescent="0.35">
      <c r="A17" s="817"/>
      <c r="B17" s="817"/>
      <c r="C17" s="817"/>
      <c r="D17" s="1060" t="str">
        <f t="shared" si="1"/>
        <v>0</v>
      </c>
      <c r="E17" s="817"/>
      <c r="F17" s="818">
        <f t="shared" si="2"/>
        <v>0</v>
      </c>
      <c r="G17" s="968">
        <v>9.5657329999999998</v>
      </c>
      <c r="H17" s="677">
        <f t="shared" si="3"/>
        <v>0</v>
      </c>
      <c r="I17" s="677">
        <f>H17*'Emission Factors'!$B$688</f>
        <v>0</v>
      </c>
      <c r="J17" s="677">
        <f>$I17*'Emission Factors'!$C$688*0.001</f>
        <v>0</v>
      </c>
      <c r="K17" s="677">
        <f>$I17*'Emission Factors'!$D$688*0.001</f>
        <v>0</v>
      </c>
      <c r="L17" s="677">
        <f>$I17*'Emission Factors'!$E$688*0.001</f>
        <v>0</v>
      </c>
      <c r="M17" s="965">
        <f t="shared" si="0"/>
        <v>0</v>
      </c>
      <c r="N17" s="689"/>
      <c r="O17" s="689"/>
      <c r="P17" s="689"/>
      <c r="Q17" s="689"/>
      <c r="R17" s="689"/>
      <c r="S17" s="689"/>
      <c r="T17" s="689"/>
      <c r="U17" s="689"/>
      <c r="V17" s="689"/>
      <c r="W17" s="689"/>
      <c r="X17" s="689"/>
      <c r="Y17" s="689"/>
    </row>
    <row r="18" spans="1:25" ht="15.5" x14ac:dyDescent="0.35">
      <c r="A18" s="817"/>
      <c r="B18" s="817"/>
      <c r="C18" s="817"/>
      <c r="D18" s="1060" t="str">
        <f t="shared" si="1"/>
        <v>0</v>
      </c>
      <c r="E18" s="817"/>
      <c r="F18" s="818">
        <f t="shared" si="2"/>
        <v>0</v>
      </c>
      <c r="G18" s="968">
        <v>9.5657329999999998</v>
      </c>
      <c r="H18" s="677">
        <f t="shared" si="3"/>
        <v>0</v>
      </c>
      <c r="I18" s="677">
        <f>H18*'Emission Factors'!$B$688</f>
        <v>0</v>
      </c>
      <c r="J18" s="677">
        <f>$I18*'Emission Factors'!$C$688*0.001</f>
        <v>0</v>
      </c>
      <c r="K18" s="677">
        <f>$I18*'Emission Factors'!$D$688*0.001</f>
        <v>0</v>
      </c>
      <c r="L18" s="677">
        <f>$I18*'Emission Factors'!$E$688*0.001</f>
        <v>0</v>
      </c>
      <c r="M18" s="965">
        <f t="shared" si="0"/>
        <v>0</v>
      </c>
      <c r="N18" s="689"/>
      <c r="O18" s="689"/>
      <c r="P18" s="689"/>
      <c r="Q18" s="689"/>
      <c r="R18" s="689"/>
      <c r="S18" s="689"/>
      <c r="T18" s="689"/>
      <c r="U18" s="689"/>
      <c r="V18" s="689"/>
      <c r="W18" s="689"/>
      <c r="X18" s="689"/>
      <c r="Y18" s="689"/>
    </row>
    <row r="19" spans="1:25" ht="15.5" x14ac:dyDescent="0.35">
      <c r="A19" s="817"/>
      <c r="B19" s="817"/>
      <c r="C19" s="817"/>
      <c r="D19" s="1060" t="str">
        <f t="shared" si="1"/>
        <v>0</v>
      </c>
      <c r="E19" s="817"/>
      <c r="F19" s="818">
        <f t="shared" si="2"/>
        <v>0</v>
      </c>
      <c r="G19" s="968">
        <v>9.5657329999999998</v>
      </c>
      <c r="H19" s="677">
        <f t="shared" si="3"/>
        <v>0</v>
      </c>
      <c r="I19" s="677">
        <f>H19*'Emission Factors'!$B$688</f>
        <v>0</v>
      </c>
      <c r="J19" s="677">
        <f>$I19*'Emission Factors'!$C$688*0.001</f>
        <v>0</v>
      </c>
      <c r="K19" s="677">
        <f>$I19*'Emission Factors'!$D$688*0.001</f>
        <v>0</v>
      </c>
      <c r="L19" s="677">
        <f>$I19*'Emission Factors'!$E$688*0.001</f>
        <v>0</v>
      </c>
      <c r="M19" s="965">
        <f t="shared" si="0"/>
        <v>0</v>
      </c>
      <c r="N19" s="689"/>
      <c r="O19" s="689"/>
      <c r="P19" s="689"/>
      <c r="Q19" s="689"/>
      <c r="R19" s="689"/>
      <c r="S19" s="689"/>
      <c r="T19" s="689"/>
      <c r="U19" s="689"/>
      <c r="V19" s="689"/>
      <c r="W19" s="689"/>
      <c r="X19" s="689"/>
      <c r="Y19" s="689"/>
    </row>
    <row r="20" spans="1:25" ht="15.5" x14ac:dyDescent="0.35">
      <c r="A20" s="817"/>
      <c r="B20" s="817"/>
      <c r="C20" s="817"/>
      <c r="D20" s="1060" t="str">
        <f t="shared" si="1"/>
        <v>0</v>
      </c>
      <c r="E20" s="817"/>
      <c r="F20" s="818">
        <f t="shared" si="2"/>
        <v>0</v>
      </c>
      <c r="G20" s="968">
        <v>9.5657329999999998</v>
      </c>
      <c r="H20" s="677">
        <f t="shared" si="3"/>
        <v>0</v>
      </c>
      <c r="I20" s="677">
        <f>H20*'Emission Factors'!$B$688</f>
        <v>0</v>
      </c>
      <c r="J20" s="677">
        <f>$I20*'Emission Factors'!$C$688*0.001</f>
        <v>0</v>
      </c>
      <c r="K20" s="677">
        <f>$I20*'Emission Factors'!$D$688*0.001</f>
        <v>0</v>
      </c>
      <c r="L20" s="677">
        <f>$I20*'Emission Factors'!$E$688*0.001</f>
        <v>0</v>
      </c>
      <c r="M20" s="965">
        <f t="shared" si="0"/>
        <v>0</v>
      </c>
      <c r="N20" s="689"/>
      <c r="O20" s="689"/>
      <c r="P20" s="689"/>
      <c r="Q20" s="689"/>
      <c r="R20" s="689"/>
      <c r="S20" s="689"/>
      <c r="T20" s="689"/>
      <c r="U20" s="689"/>
      <c r="V20" s="689"/>
      <c r="W20" s="689"/>
      <c r="X20" s="689"/>
      <c r="Y20" s="689"/>
    </row>
    <row r="21" spans="1:25" ht="15.5" x14ac:dyDescent="0.35">
      <c r="A21" s="817"/>
      <c r="B21" s="817"/>
      <c r="C21" s="817"/>
      <c r="D21" s="1060" t="str">
        <f t="shared" si="1"/>
        <v>0</v>
      </c>
      <c r="E21" s="817"/>
      <c r="F21" s="818">
        <f t="shared" si="2"/>
        <v>0</v>
      </c>
      <c r="G21" s="968">
        <v>9.5657329999999998</v>
      </c>
      <c r="H21" s="677">
        <f t="shared" si="3"/>
        <v>0</v>
      </c>
      <c r="I21" s="677">
        <f>H21*'Emission Factors'!$B$688</f>
        <v>0</v>
      </c>
      <c r="J21" s="677">
        <f>$I21*'Emission Factors'!$C$688*0.001</f>
        <v>0</v>
      </c>
      <c r="K21" s="677">
        <f>$I21*'Emission Factors'!$D$688*0.001</f>
        <v>0</v>
      </c>
      <c r="L21" s="677">
        <f>$I21*'Emission Factors'!$E$688*0.001</f>
        <v>0</v>
      </c>
      <c r="M21" s="965">
        <f t="shared" si="0"/>
        <v>0</v>
      </c>
      <c r="N21" s="689"/>
      <c r="O21" s="689"/>
      <c r="P21" s="689"/>
      <c r="Q21" s="689"/>
      <c r="R21" s="689"/>
      <c r="S21" s="689"/>
      <c r="T21" s="689"/>
      <c r="U21" s="689"/>
      <c r="V21" s="689"/>
      <c r="W21" s="689"/>
      <c r="X21" s="689"/>
      <c r="Y21" s="689"/>
    </row>
    <row r="22" spans="1:25" ht="15.5" x14ac:dyDescent="0.35">
      <c r="A22" s="817"/>
      <c r="B22" s="817"/>
      <c r="C22" s="817"/>
      <c r="D22" s="1060" t="str">
        <f t="shared" si="1"/>
        <v>0</v>
      </c>
      <c r="E22" s="817"/>
      <c r="F22" s="818">
        <f t="shared" si="2"/>
        <v>0</v>
      </c>
      <c r="G22" s="968">
        <v>9.5657329999999998</v>
      </c>
      <c r="H22" s="677">
        <f t="shared" si="3"/>
        <v>0</v>
      </c>
      <c r="I22" s="677">
        <f>H22*'Emission Factors'!$B$688</f>
        <v>0</v>
      </c>
      <c r="J22" s="677">
        <f>$I22*'Emission Factors'!$C$688*0.001</f>
        <v>0</v>
      </c>
      <c r="K22" s="677">
        <f>$I22*'Emission Factors'!$D$688*0.001</f>
        <v>0</v>
      </c>
      <c r="L22" s="677">
        <f>$I22*'Emission Factors'!$E$688*0.001</f>
        <v>0</v>
      </c>
      <c r="M22" s="965">
        <f t="shared" si="0"/>
        <v>0</v>
      </c>
      <c r="N22" s="689"/>
      <c r="O22" s="689"/>
      <c r="P22" s="689"/>
      <c r="Q22" s="689"/>
      <c r="R22" s="689"/>
      <c r="S22" s="689"/>
      <c r="T22" s="689"/>
      <c r="U22" s="689"/>
      <c r="V22" s="689"/>
      <c r="W22" s="689"/>
      <c r="X22" s="689"/>
      <c r="Y22" s="689"/>
    </row>
    <row r="23" spans="1:25" ht="15.5" x14ac:dyDescent="0.35">
      <c r="A23" s="817"/>
      <c r="B23" s="817"/>
      <c r="C23" s="817"/>
      <c r="D23" s="1060" t="str">
        <f t="shared" si="1"/>
        <v>0</v>
      </c>
      <c r="E23" s="817"/>
      <c r="F23" s="818">
        <f t="shared" si="2"/>
        <v>0</v>
      </c>
      <c r="G23" s="968">
        <v>9.5657329999999998</v>
      </c>
      <c r="H23" s="677">
        <f t="shared" si="3"/>
        <v>0</v>
      </c>
      <c r="I23" s="677">
        <f>H23*'Emission Factors'!$B$688</f>
        <v>0</v>
      </c>
      <c r="J23" s="677">
        <f>$I23*'Emission Factors'!$C$688*0.001</f>
        <v>0</v>
      </c>
      <c r="K23" s="677">
        <f>$I23*'Emission Factors'!$D$688*0.001</f>
        <v>0</v>
      </c>
      <c r="L23" s="677">
        <f>$I23*'Emission Factors'!$E$688*0.001</f>
        <v>0</v>
      </c>
      <c r="M23" s="965">
        <f t="shared" si="0"/>
        <v>0</v>
      </c>
      <c r="N23" s="689"/>
      <c r="O23" s="689"/>
      <c r="P23" s="689"/>
      <c r="Q23" s="689"/>
      <c r="R23" s="689"/>
      <c r="S23" s="689"/>
      <c r="T23" s="689"/>
      <c r="U23" s="689"/>
      <c r="V23" s="689"/>
      <c r="W23" s="689"/>
      <c r="X23" s="689"/>
      <c r="Y23" s="689"/>
    </row>
    <row r="24" spans="1:25" ht="15.5" x14ac:dyDescent="0.35">
      <c r="A24" s="817"/>
      <c r="B24" s="817"/>
      <c r="C24" s="817"/>
      <c r="D24" s="1060" t="str">
        <f t="shared" si="1"/>
        <v>0</v>
      </c>
      <c r="E24" s="817"/>
      <c r="F24" s="818">
        <f t="shared" si="2"/>
        <v>0</v>
      </c>
      <c r="G24" s="968">
        <v>9.5657329999999998</v>
      </c>
      <c r="H24" s="677">
        <f t="shared" si="3"/>
        <v>0</v>
      </c>
      <c r="I24" s="677">
        <f>H24*'Emission Factors'!$B$688</f>
        <v>0</v>
      </c>
      <c r="J24" s="677">
        <f>$I24*'Emission Factors'!$C$688*0.001</f>
        <v>0</v>
      </c>
      <c r="K24" s="677">
        <f>$I24*'Emission Factors'!$D$688*0.001</f>
        <v>0</v>
      </c>
      <c r="L24" s="677">
        <f>$I24*'Emission Factors'!$E$688*0.001</f>
        <v>0</v>
      </c>
      <c r="M24" s="965">
        <f t="shared" si="0"/>
        <v>0</v>
      </c>
      <c r="N24" s="689"/>
      <c r="O24" s="689"/>
      <c r="P24" s="689"/>
      <c r="Q24" s="689"/>
      <c r="R24" s="689"/>
      <c r="S24" s="689"/>
      <c r="T24" s="689"/>
      <c r="U24" s="689"/>
      <c r="V24" s="689"/>
      <c r="W24" s="689"/>
      <c r="X24" s="689"/>
      <c r="Y24" s="689"/>
    </row>
    <row r="25" spans="1:25" ht="15.5" x14ac:dyDescent="0.35">
      <c r="A25" s="817"/>
      <c r="B25" s="817"/>
      <c r="C25" s="817"/>
      <c r="D25" s="1060" t="str">
        <f t="shared" si="1"/>
        <v>0</v>
      </c>
      <c r="E25" s="817"/>
      <c r="F25" s="818">
        <f t="shared" si="2"/>
        <v>0</v>
      </c>
      <c r="G25" s="968">
        <v>9.5657329999999998</v>
      </c>
      <c r="H25" s="677">
        <f t="shared" si="3"/>
        <v>0</v>
      </c>
      <c r="I25" s="677">
        <f>H25*'Emission Factors'!$B$688</f>
        <v>0</v>
      </c>
      <c r="J25" s="677">
        <f>$I25*'Emission Factors'!$C$688*0.001</f>
        <v>0</v>
      </c>
      <c r="K25" s="677">
        <f>$I25*'Emission Factors'!$D$688*0.001</f>
        <v>0</v>
      </c>
      <c r="L25" s="677">
        <f>$I25*'Emission Factors'!$E$688*0.001</f>
        <v>0</v>
      </c>
      <c r="M25" s="965">
        <f t="shared" si="0"/>
        <v>0</v>
      </c>
      <c r="N25" s="689"/>
      <c r="O25" s="689"/>
      <c r="P25" s="689"/>
      <c r="Q25" s="689"/>
      <c r="R25" s="689"/>
      <c r="S25" s="689"/>
      <c r="T25" s="689"/>
      <c r="U25" s="689"/>
      <c r="V25" s="689"/>
      <c r="W25" s="689"/>
      <c r="X25" s="689"/>
      <c r="Y25" s="689"/>
    </row>
    <row r="26" spans="1:25" ht="15.5" x14ac:dyDescent="0.35">
      <c r="A26" s="817"/>
      <c r="B26" s="817"/>
      <c r="C26" s="817"/>
      <c r="D26" s="1060" t="str">
        <f t="shared" si="1"/>
        <v>0</v>
      </c>
      <c r="E26" s="817"/>
      <c r="F26" s="818">
        <f t="shared" si="2"/>
        <v>0</v>
      </c>
      <c r="G26" s="968">
        <v>9.5657329999999998</v>
      </c>
      <c r="H26" s="677">
        <f t="shared" si="3"/>
        <v>0</v>
      </c>
      <c r="I26" s="677">
        <f>H26*'Emission Factors'!$B$688</f>
        <v>0</v>
      </c>
      <c r="J26" s="677">
        <f>$I26*'Emission Factors'!$C$688*0.001</f>
        <v>0</v>
      </c>
      <c r="K26" s="677">
        <f>$I26*'Emission Factors'!$D$688*0.001</f>
        <v>0</v>
      </c>
      <c r="L26" s="677">
        <f>$I26*'Emission Factors'!$E$688*0.001</f>
        <v>0</v>
      </c>
      <c r="M26" s="965">
        <f t="shared" si="0"/>
        <v>0</v>
      </c>
      <c r="N26" s="689"/>
      <c r="O26" s="689"/>
      <c r="P26" s="689"/>
      <c r="Q26" s="689"/>
      <c r="R26" s="689"/>
      <c r="S26" s="689"/>
      <c r="T26" s="689"/>
      <c r="U26" s="689"/>
      <c r="V26" s="689"/>
      <c r="W26" s="689"/>
      <c r="X26" s="689"/>
      <c r="Y26" s="689"/>
    </row>
    <row r="27" spans="1:25" ht="15.5" x14ac:dyDescent="0.35">
      <c r="A27" s="817"/>
      <c r="B27" s="817"/>
      <c r="C27" s="817"/>
      <c r="D27" s="1060" t="str">
        <f t="shared" si="1"/>
        <v>0</v>
      </c>
      <c r="E27" s="817"/>
      <c r="F27" s="818">
        <f t="shared" si="2"/>
        <v>0</v>
      </c>
      <c r="G27" s="968">
        <v>9.5657329999999998</v>
      </c>
      <c r="H27" s="677">
        <f t="shared" si="3"/>
        <v>0</v>
      </c>
      <c r="I27" s="677">
        <f>H27*'Emission Factors'!$B$688</f>
        <v>0</v>
      </c>
      <c r="J27" s="677">
        <f>$I27*'Emission Factors'!$C$688*0.001</f>
        <v>0</v>
      </c>
      <c r="K27" s="677">
        <f>$I27*'Emission Factors'!$D$688*0.001</f>
        <v>0</v>
      </c>
      <c r="L27" s="677">
        <f>$I27*'Emission Factors'!$E$688*0.001</f>
        <v>0</v>
      </c>
      <c r="M27" s="965">
        <f t="shared" si="0"/>
        <v>0</v>
      </c>
      <c r="N27" s="689"/>
      <c r="O27" s="689"/>
      <c r="P27" s="689"/>
      <c r="Q27" s="689"/>
      <c r="R27" s="689"/>
      <c r="S27" s="689"/>
      <c r="T27" s="689"/>
      <c r="U27" s="689"/>
      <c r="V27" s="689"/>
      <c r="W27" s="689"/>
      <c r="X27" s="689"/>
      <c r="Y27" s="689"/>
    </row>
    <row r="28" spans="1:25" ht="16" thickBot="1" x14ac:dyDescent="0.4">
      <c r="A28" s="817"/>
      <c r="B28" s="817"/>
      <c r="C28" s="817"/>
      <c r="D28" s="1060" t="str">
        <f t="shared" si="1"/>
        <v>0</v>
      </c>
      <c r="E28" s="817"/>
      <c r="F28" s="818">
        <f t="shared" si="2"/>
        <v>0</v>
      </c>
      <c r="G28" s="968">
        <v>9.5657329999999998</v>
      </c>
      <c r="H28" s="677">
        <f t="shared" si="3"/>
        <v>0</v>
      </c>
      <c r="I28" s="677">
        <f>H28*'Emission Factors'!$B$688</f>
        <v>0</v>
      </c>
      <c r="J28" s="677">
        <f>$I28*'Emission Factors'!$C$688*0.001</f>
        <v>0</v>
      </c>
      <c r="K28" s="677">
        <f>$I28*'Emission Factors'!$D$688*0.001</f>
        <v>0</v>
      </c>
      <c r="L28" s="677">
        <f>$I28*'Emission Factors'!$E$688*0.001</f>
        <v>0</v>
      </c>
      <c r="M28" s="1038">
        <f t="shared" si="0"/>
        <v>0</v>
      </c>
      <c r="N28" s="689"/>
      <c r="O28" s="689"/>
      <c r="P28" s="689"/>
      <c r="Q28" s="689"/>
      <c r="R28" s="689"/>
      <c r="S28" s="689"/>
      <c r="T28" s="689"/>
      <c r="U28" s="689"/>
      <c r="V28" s="689"/>
      <c r="W28" s="689"/>
      <c r="X28" s="689"/>
      <c r="Y28" s="689"/>
    </row>
    <row r="30" spans="1:25" x14ac:dyDescent="0.35">
      <c r="A30" s="1061" t="s">
        <v>947</v>
      </c>
    </row>
    <row r="31" spans="1:25" ht="15.5" x14ac:dyDescent="0.35">
      <c r="A31" s="1039" t="s">
        <v>341</v>
      </c>
    </row>
  </sheetData>
  <sheetProtection algorithmName="SHA-512" hashValue="Ox5OTaG4TwhRtE7Goy0Z6gRG/w+rZoYeuqLN9YHG6MekkyWJS9f2w9hb/6gu7BK8Geo6Z4EA+amLz+REJcP7xg==" saltValue="yy5pcJfOuukX/pyz4MkFwg==" spinCount="100000" sheet="1"/>
  <mergeCells count="4">
    <mergeCell ref="M1:R1"/>
    <mergeCell ref="G4:H4"/>
    <mergeCell ref="B1:G1"/>
    <mergeCell ref="C7:D7"/>
  </mergeCells>
  <pageMargins left="0.7" right="0.7" top="0.75" bottom="0.75" header="0.3" footer="0.3"/>
  <pageSetup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AB59-159D-4CDC-A5A4-3BD76612B942}">
  <sheetPr>
    <tabColor rgb="FF009999"/>
  </sheetPr>
  <dimension ref="A1:N20"/>
  <sheetViews>
    <sheetView zoomScaleNormal="100" workbookViewId="0">
      <selection activeCell="G4" sqref="G4"/>
    </sheetView>
  </sheetViews>
  <sheetFormatPr baseColWidth="10" defaultColWidth="9.1796875" defaultRowHeight="15.5" x14ac:dyDescent="0.35"/>
  <cols>
    <col min="1" max="1" width="31.453125" style="617" bestFit="1" customWidth="1"/>
    <col min="2" max="6" width="18.1796875" style="617" customWidth="1"/>
    <col min="7" max="7" width="24.81640625" style="617" customWidth="1"/>
    <col min="8" max="8" width="17.453125" style="617" customWidth="1"/>
    <col min="9" max="9" width="24.81640625" style="617" customWidth="1"/>
    <col min="10" max="10" width="9.1796875" style="617"/>
    <col min="11" max="11" width="12.1796875" style="617" customWidth="1"/>
    <col min="12" max="12" width="9.1796875" style="617"/>
    <col min="13" max="13" width="11.1796875" style="617" customWidth="1"/>
    <col min="14" max="16384" width="9.1796875" style="617"/>
  </cols>
  <sheetData>
    <row r="1" spans="1:14" ht="37" customHeight="1" x14ac:dyDescent="0.35">
      <c r="A1" s="730" t="s">
        <v>948</v>
      </c>
      <c r="B1" s="1491" t="s">
        <v>949</v>
      </c>
      <c r="C1" s="1492"/>
      <c r="D1" s="1492"/>
      <c r="E1" s="1492"/>
      <c r="F1" s="1492"/>
      <c r="G1" s="1493"/>
      <c r="I1" s="1471" t="s">
        <v>318</v>
      </c>
      <c r="J1" s="1472"/>
      <c r="K1" s="1472"/>
      <c r="L1" s="1472"/>
      <c r="M1" s="1472"/>
      <c r="N1" s="1473"/>
    </row>
    <row r="2" spans="1:14" x14ac:dyDescent="0.35">
      <c r="A2" s="597"/>
      <c r="B2" s="693"/>
      <c r="I2" s="657" t="s">
        <v>319</v>
      </c>
      <c r="J2" s="658"/>
      <c r="K2" s="659" t="s">
        <v>320</v>
      </c>
      <c r="L2" s="660"/>
      <c r="M2" s="659" t="s">
        <v>321</v>
      </c>
      <c r="N2" s="661"/>
    </row>
    <row r="3" spans="1:14" ht="37" x14ac:dyDescent="0.35">
      <c r="A3" s="837"/>
      <c r="B3" s="615" t="s">
        <v>1825</v>
      </c>
    </row>
    <row r="4" spans="1:14" ht="37" x14ac:dyDescent="0.35">
      <c r="A4" s="730" t="s">
        <v>948</v>
      </c>
      <c r="B4" s="910">
        <f>F20</f>
        <v>0</v>
      </c>
    </row>
    <row r="6" spans="1:14" s="667" customFormat="1" ht="24" thickBot="1" x14ac:dyDescent="0.6">
      <c r="C6" s="1461" t="s">
        <v>330</v>
      </c>
      <c r="D6" s="1462"/>
    </row>
    <row r="7" spans="1:14" s="731" customFormat="1" ht="46.5" x14ac:dyDescent="0.35">
      <c r="A7" s="1062" t="s">
        <v>950</v>
      </c>
      <c r="B7" s="1062" t="s">
        <v>951</v>
      </c>
      <c r="C7" s="1062" t="s">
        <v>952</v>
      </c>
      <c r="D7" s="1062" t="s">
        <v>953</v>
      </c>
      <c r="E7" s="1063" t="s">
        <v>954</v>
      </c>
      <c r="F7" s="911" t="s">
        <v>1825</v>
      </c>
    </row>
    <row r="8" spans="1:14" x14ac:dyDescent="0.35">
      <c r="A8" s="636" t="s">
        <v>955</v>
      </c>
      <c r="B8" s="1064"/>
      <c r="C8" s="636" t="s">
        <v>956</v>
      </c>
      <c r="D8" s="1065"/>
      <c r="E8" s="1066">
        <v>1.740267</v>
      </c>
      <c r="F8" s="903">
        <f>SUM(B8*'Emission Factors'!B944)*0.000001</f>
        <v>0</v>
      </c>
    </row>
    <row r="9" spans="1:14" x14ac:dyDescent="0.35">
      <c r="A9" s="636" t="s">
        <v>955</v>
      </c>
      <c r="B9" s="636" t="s">
        <v>956</v>
      </c>
      <c r="C9" s="1064"/>
      <c r="D9" s="1065">
        <v>0.85750000000000004</v>
      </c>
      <c r="E9" s="1066"/>
      <c r="F9" s="903">
        <f>SUM(C9*'Emission Factors'!B945)*0.000001</f>
        <v>0</v>
      </c>
    </row>
    <row r="10" spans="1:14" x14ac:dyDescent="0.35">
      <c r="A10" s="636" t="s">
        <v>779</v>
      </c>
      <c r="B10" s="636" t="s">
        <v>956</v>
      </c>
      <c r="C10" s="1067"/>
      <c r="D10" s="1065">
        <v>3.63</v>
      </c>
      <c r="E10" s="1066"/>
      <c r="F10" s="903">
        <f>SUM(C10*'Emission Factors'!B946)*0.001</f>
        <v>0</v>
      </c>
    </row>
    <row r="11" spans="1:14" x14ac:dyDescent="0.35">
      <c r="A11" s="636" t="s">
        <v>961</v>
      </c>
      <c r="B11" s="636" t="s">
        <v>956</v>
      </c>
      <c r="C11" s="1067"/>
      <c r="D11" s="1065">
        <v>5.91</v>
      </c>
      <c r="E11" s="1066"/>
      <c r="F11" s="903">
        <f>SUM(C11*'Emission Factors'!B947)*0.001</f>
        <v>0</v>
      </c>
    </row>
    <row r="12" spans="1:14" x14ac:dyDescent="0.35">
      <c r="A12" s="636" t="s">
        <v>962</v>
      </c>
      <c r="B12" s="636" t="s">
        <v>956</v>
      </c>
      <c r="C12" s="1067"/>
      <c r="D12" s="1065">
        <v>2.99</v>
      </c>
      <c r="E12" s="1066"/>
      <c r="F12" s="903">
        <f>SUM(C12*'Emission Factors'!B948)*0.001</f>
        <v>0</v>
      </c>
    </row>
    <row r="13" spans="1:14" x14ac:dyDescent="0.35">
      <c r="A13" s="636" t="s">
        <v>958</v>
      </c>
      <c r="B13" s="636" t="s">
        <v>956</v>
      </c>
      <c r="C13" s="1067"/>
      <c r="D13" s="1065">
        <v>8.18</v>
      </c>
      <c r="E13" s="1066"/>
      <c r="F13" s="903">
        <f>SUM(C13*'Emission Factors'!B950)*0.001</f>
        <v>0</v>
      </c>
    </row>
    <row r="14" spans="1:14" x14ac:dyDescent="0.35">
      <c r="A14" s="636" t="s">
        <v>959</v>
      </c>
      <c r="B14" s="636" t="s">
        <v>956</v>
      </c>
      <c r="C14" s="1067"/>
      <c r="D14" s="1065">
        <v>8.27</v>
      </c>
      <c r="E14" s="1066"/>
      <c r="F14" s="903">
        <f>SUM(C14*'Emission Factors'!B949)*0.001</f>
        <v>0</v>
      </c>
    </row>
    <row r="15" spans="1:14" x14ac:dyDescent="0.35">
      <c r="A15" s="636" t="s">
        <v>963</v>
      </c>
      <c r="B15" s="636" t="s">
        <v>956</v>
      </c>
      <c r="C15" s="1067"/>
      <c r="D15" s="1065">
        <v>2.2799999999999998</v>
      </c>
      <c r="E15" s="1066"/>
      <c r="F15" s="903">
        <f>SUM(C15*'Emission Factors'!B951)*0.001</f>
        <v>0</v>
      </c>
    </row>
    <row r="16" spans="1:14" x14ac:dyDescent="0.35">
      <c r="A16" s="636" t="s">
        <v>964</v>
      </c>
      <c r="B16" s="1064"/>
      <c r="C16" s="636" t="s">
        <v>956</v>
      </c>
      <c r="D16" s="1065"/>
      <c r="E16" s="1066">
        <v>3.06</v>
      </c>
      <c r="F16" s="903">
        <f>SUM(B16*'Emission Factors'!B952)*0.001</f>
        <v>0</v>
      </c>
    </row>
    <row r="17" spans="1:7" x14ac:dyDescent="0.35">
      <c r="A17" s="636" t="s">
        <v>957</v>
      </c>
      <c r="B17" s="1064"/>
      <c r="C17" s="636" t="s">
        <v>956</v>
      </c>
      <c r="D17" s="1065"/>
      <c r="E17" s="1066">
        <v>1.1399999999999999</v>
      </c>
      <c r="F17" s="903">
        <f>SUM(B17*'Emission Factors'!B953)*0.001</f>
        <v>0</v>
      </c>
    </row>
    <row r="18" spans="1:7" x14ac:dyDescent="0.35">
      <c r="A18" s="636" t="s">
        <v>960</v>
      </c>
      <c r="B18" s="1064"/>
      <c r="C18" s="636" t="s">
        <v>956</v>
      </c>
      <c r="D18" s="1065"/>
      <c r="E18" s="1066">
        <v>1.63</v>
      </c>
      <c r="F18" s="903">
        <f>SUM(B18*'Emission Factors'!B954)*0.001</f>
        <v>0</v>
      </c>
      <c r="G18" s="617" t="s">
        <v>309</v>
      </c>
    </row>
    <row r="19" spans="1:7" ht="16" thickBot="1" x14ac:dyDescent="0.4">
      <c r="A19" s="636" t="s">
        <v>965</v>
      </c>
      <c r="B19" s="1064"/>
      <c r="C19" s="636" t="s">
        <v>956</v>
      </c>
      <c r="D19" s="1065"/>
      <c r="E19" s="1068">
        <v>7.3999999999999996E-2</v>
      </c>
      <c r="F19" s="1069">
        <f>SUM(B19*'Emission Factors'!B955)*0.001</f>
        <v>0</v>
      </c>
    </row>
    <row r="20" spans="1:7" ht="16" thickBot="1" x14ac:dyDescent="0.4">
      <c r="E20" s="1070" t="s">
        <v>1699</v>
      </c>
      <c r="F20" s="1070">
        <f>SUM(F8:F19)</f>
        <v>0</v>
      </c>
    </row>
  </sheetData>
  <sheetProtection algorithmName="SHA-512" hashValue="t8m9WssYvtKySmPdjXK80JjEA7PYQWJQIwPtECqdzJWP6PmEfHg5jInaD7XbKYV/2Dd+RJziVHmD3KopjDw+Vw==" saltValue="d3WMIXLFzl7qytZ6+PWEVg==" spinCount="100000" sheet="1"/>
  <mergeCells count="3">
    <mergeCell ref="I1:N1"/>
    <mergeCell ref="B1:G1"/>
    <mergeCell ref="C6:D6"/>
  </mergeCells>
  <pageMargins left="0.7" right="0.7" top="0.75" bottom="0.75" header="0.3" footer="0.3"/>
  <pageSetup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BC2DE-F939-42F4-BBB7-75793DAAA593}">
  <sheetPr>
    <tabColor rgb="FF009999"/>
  </sheetPr>
  <dimension ref="A1:V30"/>
  <sheetViews>
    <sheetView zoomScale="64" zoomScaleNormal="70" workbookViewId="0">
      <selection activeCell="H6" sqref="H6"/>
    </sheetView>
  </sheetViews>
  <sheetFormatPr baseColWidth="10" defaultColWidth="9.1796875" defaultRowHeight="15.5" x14ac:dyDescent="0.35"/>
  <cols>
    <col min="1" max="1" width="47.1796875" style="617" customWidth="1"/>
    <col min="2" max="2" width="20.26953125" style="617" customWidth="1"/>
    <col min="3" max="3" width="29.81640625" style="617" customWidth="1"/>
    <col min="4" max="4" width="16.81640625" style="617" customWidth="1"/>
    <col min="5" max="5" width="21.1796875" style="617" customWidth="1"/>
    <col min="6" max="6" width="17.81640625" style="617" customWidth="1"/>
    <col min="7" max="7" width="25.1796875" style="617" customWidth="1"/>
    <col min="8" max="8" width="15.7265625" style="617" customWidth="1"/>
    <col min="9" max="22" width="15.7265625" style="618" customWidth="1"/>
    <col min="23" max="23" width="15.7265625" style="617" customWidth="1"/>
    <col min="24" max="16384" width="9.1796875" style="617"/>
  </cols>
  <sheetData>
    <row r="1" spans="1:22" ht="59.25" customHeight="1" thickBot="1" x14ac:dyDescent="0.4">
      <c r="A1" s="747" t="s">
        <v>966</v>
      </c>
      <c r="B1" s="1512" t="s">
        <v>967</v>
      </c>
      <c r="C1" s="1492"/>
      <c r="D1" s="1492"/>
      <c r="E1" s="1492"/>
      <c r="F1" s="1492"/>
      <c r="G1" s="1493"/>
      <c r="J1" s="1500" t="s">
        <v>318</v>
      </c>
      <c r="K1" s="1501"/>
      <c r="L1" s="1501"/>
      <c r="M1" s="1501"/>
      <c r="N1" s="1501"/>
      <c r="O1" s="1502"/>
    </row>
    <row r="2" spans="1:22" x14ac:dyDescent="0.35">
      <c r="B2" s="656"/>
      <c r="J2" s="657" t="s">
        <v>319</v>
      </c>
      <c r="K2" s="658"/>
      <c r="L2" s="659" t="s">
        <v>320</v>
      </c>
      <c r="M2" s="1031"/>
      <c r="N2" s="659" t="s">
        <v>321</v>
      </c>
      <c r="O2" s="1032"/>
    </row>
    <row r="3" spans="1:22" x14ac:dyDescent="0.35">
      <c r="B3" s="656"/>
      <c r="P3" s="635"/>
      <c r="Q3" s="635"/>
      <c r="R3" s="635"/>
      <c r="S3" s="635"/>
      <c r="T3" s="635"/>
      <c r="U3" s="635"/>
    </row>
    <row r="4" spans="1:22" ht="37" x14ac:dyDescent="0.35">
      <c r="A4" s="662"/>
      <c r="B4" s="615" t="s">
        <v>324</v>
      </c>
      <c r="F4" s="618"/>
      <c r="G4" s="1595"/>
      <c r="H4" s="1595"/>
      <c r="J4" s="635"/>
      <c r="K4" s="635"/>
      <c r="L4" s="635"/>
      <c r="M4" s="635"/>
      <c r="N4" s="635"/>
      <c r="O4" s="635"/>
      <c r="Q4" s="617"/>
      <c r="R4" s="617"/>
      <c r="S4" s="617"/>
      <c r="T4" s="617"/>
      <c r="U4" s="617"/>
      <c r="V4" s="617"/>
    </row>
    <row r="5" spans="1:22" ht="18.5" x14ac:dyDescent="0.35">
      <c r="A5" s="615" t="s">
        <v>968</v>
      </c>
      <c r="B5" s="623">
        <f>C15</f>
        <v>0</v>
      </c>
      <c r="E5" s="847"/>
      <c r="F5" s="847"/>
      <c r="G5" s="847"/>
      <c r="H5" s="847"/>
      <c r="J5" s="635"/>
      <c r="K5" s="635"/>
      <c r="L5" s="635"/>
      <c r="M5" s="635"/>
      <c r="N5" s="635"/>
      <c r="O5" s="617"/>
      <c r="P5" s="617"/>
      <c r="Q5" s="617"/>
      <c r="R5" s="617"/>
      <c r="S5" s="617"/>
      <c r="T5" s="617"/>
      <c r="U5" s="617"/>
      <c r="V5" s="617"/>
    </row>
    <row r="6" spans="1:22" ht="18.5" x14ac:dyDescent="0.35">
      <c r="A6" s="615" t="s">
        <v>969</v>
      </c>
      <c r="B6" s="623">
        <f>C22</f>
        <v>0</v>
      </c>
      <c r="E6" s="847"/>
      <c r="F6" s="847"/>
      <c r="G6" s="847"/>
      <c r="H6" s="847"/>
      <c r="J6" s="635"/>
      <c r="K6" s="635"/>
      <c r="L6" s="635"/>
      <c r="M6" s="635"/>
      <c r="N6" s="635"/>
      <c r="O6" s="617"/>
      <c r="P6" s="617"/>
      <c r="Q6" s="617"/>
      <c r="R6" s="617"/>
      <c r="S6" s="617"/>
      <c r="T6" s="617"/>
      <c r="U6" s="617"/>
      <c r="V6" s="617"/>
    </row>
    <row r="7" spans="1:22" ht="26.25" customHeight="1" x14ac:dyDescent="0.35">
      <c r="A7" s="615" t="s">
        <v>970</v>
      </c>
      <c r="B7" s="623">
        <f>C28</f>
        <v>0</v>
      </c>
      <c r="E7" s="847"/>
      <c r="F7" s="847"/>
      <c r="G7" s="847"/>
      <c r="H7" s="847"/>
      <c r="J7" s="635"/>
      <c r="K7" s="635"/>
      <c r="L7" s="635"/>
      <c r="M7" s="635"/>
      <c r="N7" s="635"/>
      <c r="O7" s="617"/>
      <c r="P7" s="617"/>
      <c r="Q7" s="617"/>
      <c r="R7" s="617"/>
      <c r="S7" s="617"/>
      <c r="T7" s="617"/>
      <c r="U7" s="617"/>
      <c r="V7" s="617"/>
    </row>
    <row r="8" spans="1:22" ht="26.25" customHeight="1" x14ac:dyDescent="0.35">
      <c r="A8" s="615" t="s">
        <v>327</v>
      </c>
      <c r="B8" s="623">
        <f>SUM(B5:B7)</f>
        <v>0</v>
      </c>
      <c r="E8" s="847"/>
      <c r="F8" s="847"/>
      <c r="G8" s="847"/>
      <c r="H8" s="847"/>
      <c r="J8" s="635"/>
      <c r="K8" s="635"/>
      <c r="L8" s="635"/>
      <c r="M8" s="635"/>
      <c r="N8" s="635"/>
      <c r="O8" s="617"/>
      <c r="P8" s="617"/>
      <c r="Q8" s="617"/>
      <c r="R8" s="617"/>
      <c r="S8" s="617"/>
      <c r="T8" s="617"/>
      <c r="U8" s="617"/>
      <c r="V8" s="617"/>
    </row>
    <row r="9" spans="1:22" ht="15" customHeight="1" x14ac:dyDescent="0.35">
      <c r="A9" s="1071"/>
      <c r="B9" s="1071"/>
      <c r="P9" s="635"/>
      <c r="Q9" s="635"/>
      <c r="R9" s="635"/>
      <c r="S9" s="635"/>
      <c r="T9" s="635"/>
      <c r="U9" s="617"/>
      <c r="V9" s="617"/>
    </row>
    <row r="10" spans="1:22" ht="15.75" customHeight="1" x14ac:dyDescent="0.35">
      <c r="A10" s="845"/>
      <c r="I10" s="617"/>
      <c r="J10" s="617"/>
      <c r="K10" s="617"/>
      <c r="L10" s="617"/>
      <c r="M10" s="617"/>
      <c r="N10" s="617"/>
      <c r="O10" s="617"/>
      <c r="P10" s="617"/>
      <c r="Q10" s="617"/>
      <c r="R10" s="617"/>
      <c r="S10" s="617"/>
      <c r="T10" s="617"/>
      <c r="U10" s="617"/>
      <c r="V10" s="617"/>
    </row>
    <row r="11" spans="1:22" s="667" customFormat="1" ht="36" x14ac:dyDescent="0.8">
      <c r="A11" s="1479" t="s">
        <v>971</v>
      </c>
      <c r="B11" s="1480"/>
      <c r="C11" s="1480"/>
      <c r="D11" s="1480"/>
      <c r="E11" s="1480"/>
      <c r="F11" s="1480"/>
      <c r="G11" s="1480"/>
    </row>
    <row r="12" spans="1:22" x14ac:dyDescent="0.35">
      <c r="A12" s="845"/>
      <c r="F12" s="954"/>
      <c r="H12" s="634"/>
      <c r="O12" s="619"/>
      <c r="S12" s="617"/>
      <c r="T12" s="617"/>
      <c r="U12" s="617"/>
      <c r="V12" s="617"/>
    </row>
    <row r="13" spans="1:22" s="667" customFormat="1" ht="24" thickBot="1" x14ac:dyDescent="0.6">
      <c r="A13" s="648"/>
      <c r="C13" s="1525" t="s">
        <v>330</v>
      </c>
      <c r="D13" s="1526"/>
      <c r="F13" s="1034"/>
      <c r="H13" s="851"/>
      <c r="I13" s="1035"/>
      <c r="J13" s="1035"/>
      <c r="K13" s="1035"/>
      <c r="L13" s="1035"/>
      <c r="M13" s="1035"/>
      <c r="N13" s="1035"/>
      <c r="O13" s="1036"/>
      <c r="P13" s="1035"/>
      <c r="Q13" s="1035"/>
      <c r="R13" s="1035"/>
    </row>
    <row r="14" spans="1:22" ht="31" x14ac:dyDescent="0.35">
      <c r="A14" s="1062" t="s">
        <v>972</v>
      </c>
      <c r="B14" s="1062" t="s">
        <v>973</v>
      </c>
      <c r="C14" s="1072" t="s">
        <v>561</v>
      </c>
      <c r="I14" s="617"/>
      <c r="J14" s="617"/>
      <c r="K14" s="617"/>
      <c r="L14" s="617"/>
      <c r="M14" s="617"/>
      <c r="N14" s="617"/>
      <c r="O14" s="617"/>
      <c r="P14" s="617"/>
      <c r="Q14" s="617"/>
      <c r="R14" s="617"/>
      <c r="S14" s="617"/>
      <c r="T14" s="617"/>
      <c r="U14" s="617"/>
      <c r="V14" s="617"/>
    </row>
    <row r="15" spans="1:22" ht="16" thickBot="1" x14ac:dyDescent="0.4">
      <c r="A15" s="889"/>
      <c r="B15" s="913">
        <f>A15*0.029315068</f>
        <v>0</v>
      </c>
      <c r="C15" s="1073">
        <f>B15*'Emission Factors'!$F$986/1000</f>
        <v>0</v>
      </c>
      <c r="I15" s="617"/>
      <c r="J15" s="617"/>
      <c r="K15" s="617"/>
      <c r="L15" s="617"/>
      <c r="M15" s="617"/>
      <c r="N15" s="617"/>
      <c r="O15" s="617"/>
      <c r="P15" s="617"/>
      <c r="Q15" s="617"/>
      <c r="R15" s="617"/>
      <c r="S15" s="617"/>
      <c r="T15" s="617"/>
      <c r="U15" s="617"/>
      <c r="V15" s="617"/>
    </row>
    <row r="16" spans="1:22" x14ac:dyDescent="0.35">
      <c r="A16" s="693" t="s">
        <v>975</v>
      </c>
      <c r="I16" s="617"/>
      <c r="J16" s="617"/>
      <c r="K16" s="617"/>
      <c r="L16" s="617"/>
      <c r="M16" s="617"/>
      <c r="N16" s="617"/>
      <c r="O16" s="617"/>
      <c r="P16" s="617"/>
      <c r="Q16" s="617"/>
      <c r="R16" s="617"/>
      <c r="S16" s="617"/>
      <c r="T16" s="617"/>
      <c r="U16" s="617"/>
      <c r="V16" s="617"/>
    </row>
    <row r="17" spans="1:22" x14ac:dyDescent="0.35">
      <c r="I17" s="617"/>
      <c r="J17" s="617"/>
      <c r="K17" s="617"/>
      <c r="L17" s="617"/>
      <c r="M17" s="617"/>
      <c r="N17" s="617"/>
      <c r="O17" s="617"/>
      <c r="P17" s="617"/>
      <c r="Q17" s="617"/>
      <c r="R17" s="617"/>
      <c r="S17" s="617"/>
      <c r="T17" s="617"/>
      <c r="U17" s="617"/>
      <c r="V17" s="617"/>
    </row>
    <row r="18" spans="1:22" s="667" customFormat="1" ht="36" x14ac:dyDescent="0.8">
      <c r="A18" s="1479" t="s">
        <v>976</v>
      </c>
      <c r="B18" s="1480"/>
      <c r="C18" s="1480"/>
      <c r="D18" s="1480"/>
      <c r="E18" s="1480"/>
      <c r="F18" s="1480"/>
      <c r="G18" s="1480"/>
    </row>
    <row r="19" spans="1:22" x14ac:dyDescent="0.35">
      <c r="A19" s="845"/>
      <c r="F19" s="954"/>
      <c r="H19" s="634"/>
      <c r="O19" s="619"/>
      <c r="S19" s="617"/>
      <c r="T19" s="617"/>
      <c r="U19" s="617"/>
      <c r="V19" s="617"/>
    </row>
    <row r="20" spans="1:22" s="667" customFormat="1" ht="24" thickBot="1" x14ac:dyDescent="0.6">
      <c r="A20" s="648"/>
      <c r="C20" s="1525" t="s">
        <v>330</v>
      </c>
      <c r="D20" s="1526"/>
      <c r="F20" s="1034"/>
      <c r="H20" s="851"/>
      <c r="I20" s="1035"/>
      <c r="J20" s="1035"/>
      <c r="K20" s="1035"/>
      <c r="L20" s="1035"/>
      <c r="M20" s="1035"/>
      <c r="N20" s="1035"/>
      <c r="O20" s="1036"/>
      <c r="P20" s="1035"/>
      <c r="Q20" s="1035"/>
      <c r="R20" s="1035"/>
    </row>
    <row r="21" spans="1:22" ht="31" x14ac:dyDescent="0.35">
      <c r="A21" s="1062" t="s">
        <v>977</v>
      </c>
      <c r="B21" s="1062" t="s">
        <v>973</v>
      </c>
      <c r="C21" s="1072" t="s">
        <v>561</v>
      </c>
      <c r="F21" s="618"/>
      <c r="I21" s="617"/>
      <c r="J21" s="617"/>
      <c r="K21" s="617"/>
      <c r="L21" s="617"/>
      <c r="M21" s="617"/>
      <c r="N21" s="617"/>
      <c r="O21" s="617"/>
      <c r="P21" s="617"/>
      <c r="Q21" s="617"/>
      <c r="R21" s="617"/>
      <c r="S21" s="617"/>
      <c r="T21" s="617"/>
      <c r="U21" s="617"/>
      <c r="V21" s="617"/>
    </row>
    <row r="22" spans="1:22" ht="16" thickBot="1" x14ac:dyDescent="0.4">
      <c r="A22" s="889"/>
      <c r="B22" s="913">
        <f>A22*0.029315068</f>
        <v>0</v>
      </c>
      <c r="C22" s="1073">
        <f>B22*'Emission Factors'!$F$986/1000</f>
        <v>0</v>
      </c>
      <c r="F22" s="618"/>
      <c r="I22" s="617"/>
      <c r="J22" s="617"/>
      <c r="K22" s="617"/>
      <c r="L22" s="617"/>
      <c r="M22" s="617"/>
      <c r="N22" s="617"/>
      <c r="O22" s="617"/>
      <c r="P22" s="617"/>
      <c r="Q22" s="617"/>
      <c r="R22" s="617"/>
      <c r="S22" s="617"/>
      <c r="T22" s="617"/>
      <c r="U22" s="617"/>
      <c r="V22" s="617"/>
    </row>
    <row r="23" spans="1:22" x14ac:dyDescent="0.35">
      <c r="I23" s="617"/>
      <c r="J23" s="617"/>
      <c r="K23" s="617"/>
      <c r="L23" s="617"/>
      <c r="M23" s="617"/>
      <c r="N23" s="617"/>
      <c r="O23" s="617"/>
      <c r="P23" s="617"/>
      <c r="Q23" s="617"/>
      <c r="R23" s="617"/>
      <c r="S23" s="617"/>
      <c r="T23" s="617"/>
      <c r="U23" s="617"/>
      <c r="V23" s="617"/>
    </row>
    <row r="24" spans="1:22" s="667" customFormat="1" ht="36" x14ac:dyDescent="0.8">
      <c r="A24" s="1479" t="s">
        <v>978</v>
      </c>
      <c r="B24" s="1480"/>
      <c r="C24" s="1480"/>
      <c r="D24" s="1480"/>
      <c r="E24" s="1480"/>
      <c r="F24" s="1480"/>
      <c r="G24" s="1480"/>
    </row>
    <row r="25" spans="1:22" x14ac:dyDescent="0.35">
      <c r="A25" s="845"/>
      <c r="F25" s="954"/>
      <c r="H25" s="634"/>
      <c r="O25" s="619"/>
      <c r="S25" s="617"/>
      <c r="T25" s="617"/>
      <c r="U25" s="617"/>
      <c r="V25" s="617"/>
    </row>
    <row r="26" spans="1:22" s="667" customFormat="1" ht="24" thickBot="1" x14ac:dyDescent="0.6">
      <c r="A26" s="648"/>
      <c r="C26" s="1525" t="s">
        <v>330</v>
      </c>
      <c r="D26" s="1526"/>
      <c r="F26" s="1034"/>
      <c r="H26" s="851"/>
      <c r="I26" s="1035"/>
      <c r="J26" s="1035"/>
      <c r="K26" s="1035"/>
      <c r="L26" s="1035"/>
      <c r="M26" s="1035"/>
      <c r="N26" s="1035"/>
      <c r="O26" s="1036"/>
      <c r="P26" s="1035"/>
      <c r="Q26" s="1035"/>
      <c r="R26" s="1035"/>
    </row>
    <row r="27" spans="1:22" ht="31" x14ac:dyDescent="0.35">
      <c r="A27" s="1062" t="s">
        <v>979</v>
      </c>
      <c r="B27" s="1062" t="s">
        <v>973</v>
      </c>
      <c r="C27" s="1072" t="s">
        <v>561</v>
      </c>
      <c r="F27" s="618"/>
      <c r="I27" s="617"/>
      <c r="J27" s="617"/>
      <c r="K27" s="617"/>
      <c r="L27" s="617"/>
      <c r="M27" s="617"/>
      <c r="N27" s="617"/>
      <c r="O27" s="617"/>
      <c r="P27" s="617"/>
      <c r="Q27" s="617"/>
      <c r="R27" s="617"/>
      <c r="S27" s="617"/>
      <c r="T27" s="617"/>
      <c r="U27" s="617"/>
      <c r="V27" s="617"/>
    </row>
    <row r="28" spans="1:22" ht="16" thickBot="1" x14ac:dyDescent="0.4">
      <c r="A28" s="889"/>
      <c r="B28" s="913">
        <f>A28*0.66</f>
        <v>0</v>
      </c>
      <c r="C28" s="1073">
        <f>B28*'Emission Factors'!$F$986/1000</f>
        <v>0</v>
      </c>
      <c r="F28" s="618"/>
      <c r="I28" s="617"/>
      <c r="J28" s="617"/>
      <c r="K28" s="617"/>
      <c r="L28" s="617"/>
      <c r="M28" s="617"/>
      <c r="N28" s="617"/>
      <c r="O28" s="617"/>
      <c r="P28" s="617"/>
      <c r="Q28" s="617"/>
      <c r="R28" s="617"/>
      <c r="S28" s="617"/>
      <c r="T28" s="617"/>
      <c r="U28" s="617"/>
      <c r="V28" s="617"/>
    </row>
    <row r="29" spans="1:22" x14ac:dyDescent="0.35">
      <c r="A29" s="693" t="s">
        <v>980</v>
      </c>
    </row>
    <row r="30" spans="1:22" x14ac:dyDescent="0.35">
      <c r="A30" s="693" t="s">
        <v>981</v>
      </c>
    </row>
  </sheetData>
  <sheetProtection algorithmName="SHA-512" hashValue="Ug12LN71rJ/KrQbXVGTUpblkWLTioBnYoQifWwQTkNP8SkdSJJAK1tKXbvX3sK92QG7ulP6vi/kg0yUIghOpsg==" saltValue="9tbcAJfDXLmbu94E/Ld8vA==" spinCount="100000" sheet="1"/>
  <mergeCells count="9">
    <mergeCell ref="B1:G1"/>
    <mergeCell ref="J1:O1"/>
    <mergeCell ref="G4:H4"/>
    <mergeCell ref="C26:D26"/>
    <mergeCell ref="A11:G11"/>
    <mergeCell ref="A18:G18"/>
    <mergeCell ref="A24:G24"/>
    <mergeCell ref="C13:D13"/>
    <mergeCell ref="C20:D20"/>
  </mergeCells>
  <pageMargins left="0.7" right="0.7" top="0.75" bottom="0.75" header="0.3" footer="0.3"/>
  <pageSetup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FF"/>
  </sheetPr>
  <dimension ref="A1:S29"/>
  <sheetViews>
    <sheetView zoomScale="70" zoomScaleNormal="70" workbookViewId="0">
      <selection activeCell="L7" sqref="L7"/>
    </sheetView>
  </sheetViews>
  <sheetFormatPr baseColWidth="10" defaultColWidth="8.81640625" defaultRowHeight="14.5" x14ac:dyDescent="0.35"/>
  <cols>
    <col min="1" max="1" width="20" style="689" customWidth="1"/>
    <col min="2" max="2" width="19" style="689" customWidth="1"/>
    <col min="3" max="3" width="14.453125" style="689" customWidth="1"/>
    <col min="4" max="18" width="15.7265625" style="689" customWidth="1"/>
    <col min="19" max="16384" width="8.81640625" style="689"/>
  </cols>
  <sheetData>
    <row r="1" spans="1:19" ht="37.5" customHeight="1" thickBot="1" x14ac:dyDescent="0.4">
      <c r="A1" s="747" t="s">
        <v>982</v>
      </c>
      <c r="B1" s="1584" t="s">
        <v>983</v>
      </c>
      <c r="C1" s="1582"/>
      <c r="D1" s="1582"/>
      <c r="E1" s="1583"/>
      <c r="J1" s="1471" t="s">
        <v>318</v>
      </c>
      <c r="K1" s="1472"/>
      <c r="L1" s="1472"/>
      <c r="M1" s="1472"/>
      <c r="N1" s="1472"/>
      <c r="O1" s="1473"/>
    </row>
    <row r="2" spans="1:19" x14ac:dyDescent="0.35">
      <c r="J2" s="831" t="s">
        <v>319</v>
      </c>
      <c r="K2" s="832"/>
      <c r="L2" s="833" t="s">
        <v>320</v>
      </c>
      <c r="M2" s="834"/>
      <c r="N2" s="833" t="s">
        <v>321</v>
      </c>
      <c r="O2" s="835"/>
    </row>
    <row r="3" spans="1:19" ht="37" x14ac:dyDescent="0.35">
      <c r="A3" s="810"/>
      <c r="B3" s="615" t="s">
        <v>324</v>
      </c>
      <c r="N3" s="1015"/>
      <c r="O3" s="1016"/>
      <c r="P3" s="1015"/>
      <c r="Q3" s="1019"/>
      <c r="R3" s="1015"/>
      <c r="S3" s="1019"/>
    </row>
    <row r="4" spans="1:19" ht="74" x14ac:dyDescent="0.35">
      <c r="A4" s="615" t="s">
        <v>984</v>
      </c>
      <c r="B4" s="811">
        <f>SUM(I8:I29)</f>
        <v>0</v>
      </c>
      <c r="N4" s="1015"/>
      <c r="O4" s="1016"/>
      <c r="P4" s="1015"/>
      <c r="Q4" s="1019"/>
      <c r="R4" s="1015"/>
      <c r="S4" s="1019"/>
    </row>
    <row r="6" spans="1:19" s="667" customFormat="1" ht="24" thickBot="1" x14ac:dyDescent="0.6">
      <c r="A6" s="648"/>
      <c r="E6" s="1477" t="s">
        <v>330</v>
      </c>
      <c r="F6" s="1478"/>
      <c r="N6" s="683"/>
      <c r="O6" s="683"/>
      <c r="P6" s="683"/>
      <c r="Q6" s="598"/>
      <c r="R6" s="683"/>
      <c r="S6" s="598"/>
    </row>
    <row r="7" spans="1:19" s="1056" customFormat="1" ht="48" customHeight="1" x14ac:dyDescent="0.35">
      <c r="A7" s="837" t="s">
        <v>985</v>
      </c>
      <c r="B7" s="837" t="s">
        <v>986</v>
      </c>
      <c r="C7" s="837" t="s">
        <v>987</v>
      </c>
      <c r="D7" s="837" t="s">
        <v>988</v>
      </c>
      <c r="E7" s="837" t="s">
        <v>989</v>
      </c>
      <c r="F7" s="837" t="s">
        <v>990</v>
      </c>
      <c r="G7" s="837" t="s">
        <v>991</v>
      </c>
      <c r="H7" s="967" t="s">
        <v>992</v>
      </c>
      <c r="I7" s="838" t="s">
        <v>561</v>
      </c>
    </row>
    <row r="8" spans="1:19" ht="34.5" customHeight="1" x14ac:dyDescent="0.35">
      <c r="A8" s="1037"/>
      <c r="B8" s="1037"/>
      <c r="C8" s="1037"/>
      <c r="D8" s="1037"/>
      <c r="E8" s="663">
        <f>SUM((B8/3.78541)*8.34)</f>
        <v>0</v>
      </c>
      <c r="F8" s="663">
        <f>SUM(E8*0.0005)</f>
        <v>0</v>
      </c>
      <c r="G8" s="663">
        <f>C8-D8</f>
        <v>0</v>
      </c>
      <c r="H8" s="1074">
        <f>SUM(G8/100)*F8*0.907</f>
        <v>0</v>
      </c>
      <c r="I8" s="624">
        <f>H8*0.48857</f>
        <v>0</v>
      </c>
    </row>
    <row r="9" spans="1:19" ht="32.15" customHeight="1" x14ac:dyDescent="0.35">
      <c r="A9" s="1037"/>
      <c r="B9" s="1037"/>
      <c r="C9" s="1037"/>
      <c r="D9" s="1037"/>
      <c r="E9" s="663">
        <f t="shared" ref="E9:E29" si="0">SUM((B9/3.78541)*8.34)</f>
        <v>0</v>
      </c>
      <c r="F9" s="663">
        <f t="shared" ref="F9:F29" si="1">SUM(E9*0.0005)</f>
        <v>0</v>
      </c>
      <c r="G9" s="663">
        <f t="shared" ref="G9:G29" si="2">C9-D9</f>
        <v>0</v>
      </c>
      <c r="H9" s="1074">
        <f t="shared" ref="H9:H29" si="3">SUM(G9/100)*F9*0.907</f>
        <v>0</v>
      </c>
      <c r="I9" s="624">
        <f t="shared" ref="I9:I28" si="4">H9*0.48857</f>
        <v>0</v>
      </c>
    </row>
    <row r="10" spans="1:19" ht="32.15" customHeight="1" x14ac:dyDescent="0.35">
      <c r="A10" s="1037"/>
      <c r="B10" s="1037"/>
      <c r="C10" s="1037"/>
      <c r="D10" s="1037"/>
      <c r="E10" s="663">
        <f t="shared" si="0"/>
        <v>0</v>
      </c>
      <c r="F10" s="663">
        <f t="shared" si="1"/>
        <v>0</v>
      </c>
      <c r="G10" s="663">
        <f t="shared" si="2"/>
        <v>0</v>
      </c>
      <c r="H10" s="1074">
        <f t="shared" si="3"/>
        <v>0</v>
      </c>
      <c r="I10" s="624">
        <f t="shared" si="4"/>
        <v>0</v>
      </c>
    </row>
    <row r="11" spans="1:19" ht="32.15" customHeight="1" x14ac:dyDescent="0.35">
      <c r="A11" s="1037"/>
      <c r="B11" s="1037"/>
      <c r="C11" s="1037"/>
      <c r="D11" s="1037"/>
      <c r="E11" s="663">
        <f t="shared" si="0"/>
        <v>0</v>
      </c>
      <c r="F11" s="663">
        <f t="shared" si="1"/>
        <v>0</v>
      </c>
      <c r="G11" s="663">
        <f t="shared" si="2"/>
        <v>0</v>
      </c>
      <c r="H11" s="1074">
        <f t="shared" si="3"/>
        <v>0</v>
      </c>
      <c r="I11" s="624">
        <f t="shared" si="4"/>
        <v>0</v>
      </c>
    </row>
    <row r="12" spans="1:19" ht="32.15" customHeight="1" x14ac:dyDescent="0.35">
      <c r="A12" s="1037"/>
      <c r="B12" s="1037"/>
      <c r="C12" s="1037"/>
      <c r="D12" s="1037"/>
      <c r="E12" s="663">
        <f t="shared" si="0"/>
        <v>0</v>
      </c>
      <c r="F12" s="663">
        <f t="shared" si="1"/>
        <v>0</v>
      </c>
      <c r="G12" s="663">
        <f t="shared" si="2"/>
        <v>0</v>
      </c>
      <c r="H12" s="1074">
        <f t="shared" si="3"/>
        <v>0</v>
      </c>
      <c r="I12" s="624">
        <f t="shared" si="4"/>
        <v>0</v>
      </c>
    </row>
    <row r="13" spans="1:19" ht="32.15" customHeight="1" x14ac:dyDescent="0.35">
      <c r="A13" s="1037"/>
      <c r="B13" s="1037"/>
      <c r="C13" s="1037"/>
      <c r="D13" s="1037"/>
      <c r="E13" s="663">
        <f t="shared" si="0"/>
        <v>0</v>
      </c>
      <c r="F13" s="663">
        <f t="shared" si="1"/>
        <v>0</v>
      </c>
      <c r="G13" s="663">
        <f t="shared" si="2"/>
        <v>0</v>
      </c>
      <c r="H13" s="1074">
        <f t="shared" si="3"/>
        <v>0</v>
      </c>
      <c r="I13" s="624">
        <f t="shared" si="4"/>
        <v>0</v>
      </c>
    </row>
    <row r="14" spans="1:19" ht="32.15" customHeight="1" x14ac:dyDescent="0.35">
      <c r="A14" s="1037"/>
      <c r="B14" s="1037"/>
      <c r="C14" s="1037"/>
      <c r="D14" s="1037"/>
      <c r="E14" s="663">
        <f t="shared" si="0"/>
        <v>0</v>
      </c>
      <c r="F14" s="663">
        <f t="shared" si="1"/>
        <v>0</v>
      </c>
      <c r="G14" s="663">
        <f t="shared" si="2"/>
        <v>0</v>
      </c>
      <c r="H14" s="1074">
        <f t="shared" si="3"/>
        <v>0</v>
      </c>
      <c r="I14" s="624">
        <f t="shared" si="4"/>
        <v>0</v>
      </c>
    </row>
    <row r="15" spans="1:19" ht="32.15" customHeight="1" x14ac:dyDescent="0.35">
      <c r="A15" s="1037"/>
      <c r="B15" s="1037"/>
      <c r="C15" s="1037"/>
      <c r="D15" s="1037"/>
      <c r="E15" s="663">
        <f t="shared" si="0"/>
        <v>0</v>
      </c>
      <c r="F15" s="663">
        <f t="shared" si="1"/>
        <v>0</v>
      </c>
      <c r="G15" s="663">
        <f t="shared" si="2"/>
        <v>0</v>
      </c>
      <c r="H15" s="1074">
        <f t="shared" si="3"/>
        <v>0</v>
      </c>
      <c r="I15" s="624">
        <f t="shared" si="4"/>
        <v>0</v>
      </c>
    </row>
    <row r="16" spans="1:19" ht="32.15" customHeight="1" x14ac:dyDescent="0.35">
      <c r="A16" s="1037"/>
      <c r="B16" s="1037"/>
      <c r="C16" s="1037"/>
      <c r="D16" s="1037"/>
      <c r="E16" s="663">
        <f t="shared" si="0"/>
        <v>0</v>
      </c>
      <c r="F16" s="663">
        <f t="shared" si="1"/>
        <v>0</v>
      </c>
      <c r="G16" s="663">
        <f t="shared" si="2"/>
        <v>0</v>
      </c>
      <c r="H16" s="1074">
        <f t="shared" si="3"/>
        <v>0</v>
      </c>
      <c r="I16" s="624">
        <f t="shared" si="4"/>
        <v>0</v>
      </c>
    </row>
    <row r="17" spans="1:9" ht="32.15" customHeight="1" x14ac:dyDescent="0.35">
      <c r="A17" s="1037"/>
      <c r="B17" s="1037"/>
      <c r="C17" s="1037"/>
      <c r="D17" s="1037"/>
      <c r="E17" s="663">
        <f t="shared" si="0"/>
        <v>0</v>
      </c>
      <c r="F17" s="663">
        <f t="shared" si="1"/>
        <v>0</v>
      </c>
      <c r="G17" s="663">
        <f t="shared" si="2"/>
        <v>0</v>
      </c>
      <c r="H17" s="1074">
        <f t="shared" si="3"/>
        <v>0</v>
      </c>
      <c r="I17" s="624">
        <f t="shared" si="4"/>
        <v>0</v>
      </c>
    </row>
    <row r="18" spans="1:9" ht="32.15" customHeight="1" x14ac:dyDescent="0.35">
      <c r="A18" s="1037"/>
      <c r="B18" s="1037"/>
      <c r="C18" s="1037"/>
      <c r="D18" s="1037"/>
      <c r="E18" s="663">
        <f t="shared" si="0"/>
        <v>0</v>
      </c>
      <c r="F18" s="663">
        <f t="shared" si="1"/>
        <v>0</v>
      </c>
      <c r="G18" s="663">
        <f t="shared" si="2"/>
        <v>0</v>
      </c>
      <c r="H18" s="1074">
        <f t="shared" si="3"/>
        <v>0</v>
      </c>
      <c r="I18" s="624">
        <f t="shared" si="4"/>
        <v>0</v>
      </c>
    </row>
    <row r="19" spans="1:9" ht="32.15" customHeight="1" x14ac:dyDescent="0.35">
      <c r="A19" s="1037"/>
      <c r="B19" s="1037"/>
      <c r="C19" s="1037"/>
      <c r="D19" s="1037"/>
      <c r="E19" s="663">
        <f t="shared" si="0"/>
        <v>0</v>
      </c>
      <c r="F19" s="663">
        <f t="shared" si="1"/>
        <v>0</v>
      </c>
      <c r="G19" s="663">
        <f t="shared" si="2"/>
        <v>0</v>
      </c>
      <c r="H19" s="1074">
        <f t="shared" si="3"/>
        <v>0</v>
      </c>
      <c r="I19" s="624">
        <f t="shared" si="4"/>
        <v>0</v>
      </c>
    </row>
    <row r="20" spans="1:9" ht="32.15" customHeight="1" x14ac:dyDescent="0.35">
      <c r="A20" s="1037"/>
      <c r="B20" s="1037"/>
      <c r="C20" s="1037"/>
      <c r="D20" s="1037"/>
      <c r="E20" s="663">
        <f t="shared" si="0"/>
        <v>0</v>
      </c>
      <c r="F20" s="663">
        <f t="shared" si="1"/>
        <v>0</v>
      </c>
      <c r="G20" s="663">
        <f t="shared" si="2"/>
        <v>0</v>
      </c>
      <c r="H20" s="1074">
        <f t="shared" si="3"/>
        <v>0</v>
      </c>
      <c r="I20" s="624">
        <f t="shared" si="4"/>
        <v>0</v>
      </c>
    </row>
    <row r="21" spans="1:9" ht="32.15" customHeight="1" x14ac:dyDescent="0.35">
      <c r="A21" s="1037"/>
      <c r="B21" s="1037"/>
      <c r="C21" s="1037"/>
      <c r="D21" s="1037"/>
      <c r="E21" s="663">
        <f t="shared" si="0"/>
        <v>0</v>
      </c>
      <c r="F21" s="663">
        <f t="shared" si="1"/>
        <v>0</v>
      </c>
      <c r="G21" s="663">
        <f t="shared" si="2"/>
        <v>0</v>
      </c>
      <c r="H21" s="1074">
        <f t="shared" si="3"/>
        <v>0</v>
      </c>
      <c r="I21" s="624">
        <f t="shared" si="4"/>
        <v>0</v>
      </c>
    </row>
    <row r="22" spans="1:9" ht="32.15" customHeight="1" x14ac:dyDescent="0.35">
      <c r="A22" s="1037"/>
      <c r="B22" s="1037"/>
      <c r="C22" s="1037"/>
      <c r="D22" s="1037"/>
      <c r="E22" s="663">
        <f t="shared" si="0"/>
        <v>0</v>
      </c>
      <c r="F22" s="663">
        <f t="shared" si="1"/>
        <v>0</v>
      </c>
      <c r="G22" s="663">
        <f t="shared" si="2"/>
        <v>0</v>
      </c>
      <c r="H22" s="1074">
        <f t="shared" si="3"/>
        <v>0</v>
      </c>
      <c r="I22" s="624">
        <f t="shared" si="4"/>
        <v>0</v>
      </c>
    </row>
    <row r="23" spans="1:9" ht="32.15" customHeight="1" x14ac:dyDescent="0.35">
      <c r="A23" s="1037"/>
      <c r="B23" s="1037"/>
      <c r="C23" s="1037"/>
      <c r="D23" s="1037"/>
      <c r="E23" s="663">
        <f t="shared" si="0"/>
        <v>0</v>
      </c>
      <c r="F23" s="663">
        <f t="shared" si="1"/>
        <v>0</v>
      </c>
      <c r="G23" s="663">
        <f t="shared" si="2"/>
        <v>0</v>
      </c>
      <c r="H23" s="1074">
        <f t="shared" si="3"/>
        <v>0</v>
      </c>
      <c r="I23" s="624">
        <f t="shared" si="4"/>
        <v>0</v>
      </c>
    </row>
    <row r="24" spans="1:9" ht="32.15" customHeight="1" x14ac:dyDescent="0.35">
      <c r="A24" s="1037"/>
      <c r="B24" s="1037"/>
      <c r="C24" s="1037"/>
      <c r="D24" s="1037"/>
      <c r="E24" s="663">
        <f t="shared" si="0"/>
        <v>0</v>
      </c>
      <c r="F24" s="663">
        <f t="shared" si="1"/>
        <v>0</v>
      </c>
      <c r="G24" s="663">
        <f t="shared" si="2"/>
        <v>0</v>
      </c>
      <c r="H24" s="1074">
        <f t="shared" si="3"/>
        <v>0</v>
      </c>
      <c r="I24" s="624">
        <f t="shared" si="4"/>
        <v>0</v>
      </c>
    </row>
    <row r="25" spans="1:9" ht="32.15" customHeight="1" x14ac:dyDescent="0.35">
      <c r="A25" s="1037"/>
      <c r="B25" s="1037"/>
      <c r="C25" s="1037"/>
      <c r="D25" s="1037"/>
      <c r="E25" s="663">
        <f t="shared" si="0"/>
        <v>0</v>
      </c>
      <c r="F25" s="663">
        <f t="shared" si="1"/>
        <v>0</v>
      </c>
      <c r="G25" s="663">
        <f t="shared" si="2"/>
        <v>0</v>
      </c>
      <c r="H25" s="1074">
        <f t="shared" si="3"/>
        <v>0</v>
      </c>
      <c r="I25" s="624">
        <f t="shared" si="4"/>
        <v>0</v>
      </c>
    </row>
    <row r="26" spans="1:9" ht="32.15" customHeight="1" x14ac:dyDescent="0.35">
      <c r="A26" s="1037"/>
      <c r="B26" s="1037"/>
      <c r="C26" s="1037"/>
      <c r="D26" s="1037"/>
      <c r="E26" s="663">
        <f t="shared" si="0"/>
        <v>0</v>
      </c>
      <c r="F26" s="663">
        <f t="shared" si="1"/>
        <v>0</v>
      </c>
      <c r="G26" s="663">
        <f t="shared" si="2"/>
        <v>0</v>
      </c>
      <c r="H26" s="1074">
        <f t="shared" si="3"/>
        <v>0</v>
      </c>
      <c r="I26" s="624">
        <f t="shared" si="4"/>
        <v>0</v>
      </c>
    </row>
    <row r="27" spans="1:9" ht="32.15" customHeight="1" x14ac:dyDescent="0.35">
      <c r="A27" s="1037"/>
      <c r="B27" s="1037"/>
      <c r="C27" s="1037"/>
      <c r="D27" s="1037"/>
      <c r="E27" s="663">
        <f t="shared" si="0"/>
        <v>0</v>
      </c>
      <c r="F27" s="663">
        <f t="shared" si="1"/>
        <v>0</v>
      </c>
      <c r="G27" s="663">
        <f t="shared" si="2"/>
        <v>0</v>
      </c>
      <c r="H27" s="1074">
        <f t="shared" si="3"/>
        <v>0</v>
      </c>
      <c r="I27" s="624">
        <f t="shared" si="4"/>
        <v>0</v>
      </c>
    </row>
    <row r="28" spans="1:9" ht="32.15" customHeight="1" x14ac:dyDescent="0.35">
      <c r="A28" s="1037"/>
      <c r="B28" s="1037"/>
      <c r="C28" s="1037"/>
      <c r="D28" s="1037"/>
      <c r="E28" s="663">
        <f t="shared" si="0"/>
        <v>0</v>
      </c>
      <c r="F28" s="663">
        <f t="shared" si="1"/>
        <v>0</v>
      </c>
      <c r="G28" s="663">
        <f t="shared" si="2"/>
        <v>0</v>
      </c>
      <c r="H28" s="1074">
        <f t="shared" si="3"/>
        <v>0</v>
      </c>
      <c r="I28" s="624">
        <f t="shared" si="4"/>
        <v>0</v>
      </c>
    </row>
    <row r="29" spans="1:9" ht="32.15" customHeight="1" thickBot="1" x14ac:dyDescent="0.4">
      <c r="A29" s="1037"/>
      <c r="B29" s="1037"/>
      <c r="C29" s="1037"/>
      <c r="D29" s="1037"/>
      <c r="E29" s="663">
        <f t="shared" si="0"/>
        <v>0</v>
      </c>
      <c r="F29" s="663">
        <f t="shared" si="1"/>
        <v>0</v>
      </c>
      <c r="G29" s="663">
        <f t="shared" si="2"/>
        <v>0</v>
      </c>
      <c r="H29" s="1074">
        <f t="shared" si="3"/>
        <v>0</v>
      </c>
      <c r="I29" s="1048">
        <f>H29*0.48857</f>
        <v>0</v>
      </c>
    </row>
  </sheetData>
  <sheetProtection algorithmName="SHA-512" hashValue="Vg/lW089/2Rg/lGpHqWVSzjlt+LDh9rov9wc+F/CscgIZVM0OPUwbDLQagQcGubn+DI82NihlNOLStaGQr6CKA==" saltValue="4WgN29S63wA1Vpl5KboR+g==" spinCount="100000" sheet="1"/>
  <mergeCells count="3">
    <mergeCell ref="B1:E1"/>
    <mergeCell ref="J1:O1"/>
    <mergeCell ref="E6:F6"/>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FF"/>
  </sheetPr>
  <dimension ref="A1:M82"/>
  <sheetViews>
    <sheetView zoomScaleNormal="100" workbookViewId="0">
      <selection activeCell="J16" sqref="J16"/>
    </sheetView>
  </sheetViews>
  <sheetFormatPr baseColWidth="10" defaultColWidth="8.81640625" defaultRowHeight="15.5" x14ac:dyDescent="0.35"/>
  <cols>
    <col min="1" max="1" width="22" style="617" customWidth="1"/>
    <col min="2" max="6" width="15.7265625" style="617" customWidth="1"/>
    <col min="7" max="7" width="15.7265625" style="634" customWidth="1"/>
    <col min="8" max="8" width="13.1796875" style="617" customWidth="1"/>
    <col min="9" max="11" width="15.7265625" style="617" customWidth="1"/>
    <col min="12" max="12" width="12.54296875" style="617" customWidth="1"/>
    <col min="13" max="13" width="11" style="617" bestFit="1" customWidth="1"/>
    <col min="14" max="14" width="8.81640625" style="617"/>
    <col min="15" max="15" width="10.7265625" style="617" bestFit="1" customWidth="1"/>
    <col min="16" max="16384" width="8.81640625" style="617"/>
  </cols>
  <sheetData>
    <row r="1" spans="1:13" ht="37" customHeight="1" x14ac:dyDescent="0.35">
      <c r="A1" s="730" t="s">
        <v>993</v>
      </c>
      <c r="B1" s="1491" t="s">
        <v>994</v>
      </c>
      <c r="C1" s="1492"/>
      <c r="D1" s="1492"/>
      <c r="E1" s="1493"/>
      <c r="H1" s="1075" t="s">
        <v>318</v>
      </c>
      <c r="I1" s="1075"/>
      <c r="J1" s="1075"/>
      <c r="K1" s="1075"/>
      <c r="L1" s="1075"/>
      <c r="M1" s="1075"/>
    </row>
    <row r="2" spans="1:13" ht="31" customHeight="1" x14ac:dyDescent="0.35">
      <c r="H2" s="657" t="s">
        <v>319</v>
      </c>
      <c r="I2" s="658"/>
      <c r="J2" s="659" t="s">
        <v>320</v>
      </c>
      <c r="K2" s="660"/>
      <c r="L2" s="659" t="s">
        <v>321</v>
      </c>
      <c r="M2" s="661"/>
    </row>
    <row r="3" spans="1:13" x14ac:dyDescent="0.35">
      <c r="G3" s="617"/>
    </row>
    <row r="4" spans="1:13" ht="74" x14ac:dyDescent="0.35">
      <c r="A4" s="615" t="s">
        <v>995</v>
      </c>
      <c r="G4" s="617"/>
    </row>
    <row r="5" spans="1:13" x14ac:dyDescent="0.35">
      <c r="A5" s="623">
        <f>SUM(F9:F19)*-1</f>
        <v>0</v>
      </c>
      <c r="G5" s="617"/>
    </row>
    <row r="6" spans="1:13" x14ac:dyDescent="0.35">
      <c r="G6" s="617"/>
    </row>
    <row r="7" spans="1:13" s="1034" customFormat="1" ht="24" thickBot="1" x14ac:dyDescent="0.6">
      <c r="A7" s="648"/>
      <c r="D7" s="1477" t="s">
        <v>330</v>
      </c>
      <c r="E7" s="1478"/>
      <c r="G7" s="836"/>
    </row>
    <row r="8" spans="1:13" ht="62" x14ac:dyDescent="0.35">
      <c r="A8" s="837" t="s">
        <v>563</v>
      </c>
      <c r="B8" s="672" t="s">
        <v>996</v>
      </c>
      <c r="C8" s="672" t="s">
        <v>997</v>
      </c>
      <c r="D8" s="672" t="s">
        <v>998</v>
      </c>
      <c r="E8" s="718" t="s">
        <v>999</v>
      </c>
      <c r="F8" s="911" t="s">
        <v>561</v>
      </c>
      <c r="G8" s="617"/>
    </row>
    <row r="9" spans="1:13" x14ac:dyDescent="0.35">
      <c r="A9" s="692"/>
      <c r="B9" s="692"/>
      <c r="C9" s="840"/>
      <c r="D9" s="663">
        <f>SUM(B9*C9)</f>
        <v>0</v>
      </c>
      <c r="E9" s="1074">
        <f>(D9*(0.15*50))/15</f>
        <v>0</v>
      </c>
      <c r="F9" s="624">
        <f>SUM(E9)*(44/12)</f>
        <v>0</v>
      </c>
      <c r="G9" s="617"/>
    </row>
    <row r="10" spans="1:13" x14ac:dyDescent="0.35">
      <c r="A10" s="692"/>
      <c r="B10" s="692"/>
      <c r="C10" s="840"/>
      <c r="D10" s="663">
        <f t="shared" ref="D10:D11" si="0">SUM(B10*C10)</f>
        <v>0</v>
      </c>
      <c r="E10" s="1074">
        <f t="shared" ref="E10:E19" si="1">(D10*(0.15*50))/15</f>
        <v>0</v>
      </c>
      <c r="F10" s="624">
        <f t="shared" ref="F10:F11" si="2">SUM(E10)*(44/12)</f>
        <v>0</v>
      </c>
      <c r="G10" s="617"/>
    </row>
    <row r="11" spans="1:13" x14ac:dyDescent="0.35">
      <c r="A11" s="692"/>
      <c r="B11" s="692"/>
      <c r="C11" s="840"/>
      <c r="D11" s="663">
        <f t="shared" si="0"/>
        <v>0</v>
      </c>
      <c r="E11" s="1074">
        <f t="shared" si="1"/>
        <v>0</v>
      </c>
      <c r="F11" s="624">
        <f t="shared" si="2"/>
        <v>0</v>
      </c>
      <c r="G11" s="617"/>
    </row>
    <row r="12" spans="1:13" x14ac:dyDescent="0.35">
      <c r="A12" s="692"/>
      <c r="B12" s="692"/>
      <c r="C12" s="840"/>
      <c r="D12" s="663">
        <f t="shared" ref="D12:D19" si="3">SUM(B12*C12)</f>
        <v>0</v>
      </c>
      <c r="E12" s="1074">
        <f t="shared" si="1"/>
        <v>0</v>
      </c>
      <c r="F12" s="624">
        <f t="shared" ref="F12:F19" si="4">SUM(E12)*(44/12)</f>
        <v>0</v>
      </c>
      <c r="G12" s="617"/>
    </row>
    <row r="13" spans="1:13" x14ac:dyDescent="0.35">
      <c r="A13" s="692"/>
      <c r="B13" s="692"/>
      <c r="C13" s="840"/>
      <c r="D13" s="663">
        <f t="shared" si="3"/>
        <v>0</v>
      </c>
      <c r="E13" s="1074">
        <f t="shared" si="1"/>
        <v>0</v>
      </c>
      <c r="F13" s="624">
        <f t="shared" si="4"/>
        <v>0</v>
      </c>
      <c r="G13" s="617"/>
    </row>
    <row r="14" spans="1:13" x14ac:dyDescent="0.35">
      <c r="A14" s="692"/>
      <c r="B14" s="692"/>
      <c r="C14" s="840"/>
      <c r="D14" s="663">
        <f t="shared" si="3"/>
        <v>0</v>
      </c>
      <c r="E14" s="1074">
        <f t="shared" si="1"/>
        <v>0</v>
      </c>
      <c r="F14" s="624">
        <f t="shared" si="4"/>
        <v>0</v>
      </c>
      <c r="G14" s="617"/>
    </row>
    <row r="15" spans="1:13" x14ac:dyDescent="0.35">
      <c r="A15" s="692"/>
      <c r="B15" s="692"/>
      <c r="C15" s="840"/>
      <c r="D15" s="663">
        <f t="shared" si="3"/>
        <v>0</v>
      </c>
      <c r="E15" s="1074">
        <f t="shared" si="1"/>
        <v>0</v>
      </c>
      <c r="F15" s="624">
        <f t="shared" si="4"/>
        <v>0</v>
      </c>
      <c r="G15" s="617"/>
    </row>
    <row r="16" spans="1:13" x14ac:dyDescent="0.35">
      <c r="A16" s="692"/>
      <c r="B16" s="692"/>
      <c r="C16" s="840"/>
      <c r="D16" s="663">
        <f t="shared" si="3"/>
        <v>0</v>
      </c>
      <c r="E16" s="1074">
        <f t="shared" si="1"/>
        <v>0</v>
      </c>
      <c r="F16" s="624">
        <f t="shared" si="4"/>
        <v>0</v>
      </c>
      <c r="G16" s="617"/>
    </row>
    <row r="17" spans="1:6" s="617" customFormat="1" x14ac:dyDescent="0.35">
      <c r="A17" s="692"/>
      <c r="B17" s="692"/>
      <c r="C17" s="840"/>
      <c r="D17" s="663">
        <f t="shared" si="3"/>
        <v>0</v>
      </c>
      <c r="E17" s="1074">
        <f t="shared" si="1"/>
        <v>0</v>
      </c>
      <c r="F17" s="624">
        <f t="shared" si="4"/>
        <v>0</v>
      </c>
    </row>
    <row r="18" spans="1:6" s="617" customFormat="1" x14ac:dyDescent="0.35">
      <c r="A18" s="692"/>
      <c r="B18" s="692"/>
      <c r="C18" s="840"/>
      <c r="D18" s="663">
        <f t="shared" si="3"/>
        <v>0</v>
      </c>
      <c r="E18" s="1074">
        <f t="shared" si="1"/>
        <v>0</v>
      </c>
      <c r="F18" s="624">
        <f t="shared" si="4"/>
        <v>0</v>
      </c>
    </row>
    <row r="19" spans="1:6" s="617" customFormat="1" ht="16" thickBot="1" x14ac:dyDescent="0.4">
      <c r="A19" s="692"/>
      <c r="B19" s="692"/>
      <c r="C19" s="840"/>
      <c r="D19" s="663">
        <f t="shared" si="3"/>
        <v>0</v>
      </c>
      <c r="E19" s="1074">
        <f t="shared" si="1"/>
        <v>0</v>
      </c>
      <c r="F19" s="1048">
        <f t="shared" si="4"/>
        <v>0</v>
      </c>
    </row>
    <row r="20" spans="1:6" s="617" customFormat="1" x14ac:dyDescent="0.35">
      <c r="E20" s="845"/>
      <c r="F20" s="634"/>
    </row>
    <row r="21" spans="1:6" s="617" customFormat="1" x14ac:dyDescent="0.35">
      <c r="F21" s="634"/>
    </row>
    <row r="22" spans="1:6" s="617" customFormat="1" x14ac:dyDescent="0.35">
      <c r="F22" s="634"/>
    </row>
    <row r="23" spans="1:6" s="617" customFormat="1" x14ac:dyDescent="0.35">
      <c r="F23" s="634"/>
    </row>
    <row r="24" spans="1:6" s="617" customFormat="1" x14ac:dyDescent="0.35">
      <c r="F24" s="634"/>
    </row>
    <row r="25" spans="1:6" s="617" customFormat="1" x14ac:dyDescent="0.35">
      <c r="F25" s="634"/>
    </row>
    <row r="26" spans="1:6" s="617" customFormat="1" x14ac:dyDescent="0.35">
      <c r="F26" s="634"/>
    </row>
    <row r="27" spans="1:6" s="617" customFormat="1" x14ac:dyDescent="0.35">
      <c r="F27" s="634"/>
    </row>
    <row r="28" spans="1:6" s="617" customFormat="1" x14ac:dyDescent="0.35">
      <c r="F28" s="634"/>
    </row>
    <row r="29" spans="1:6" s="617" customFormat="1" x14ac:dyDescent="0.35">
      <c r="F29" s="634"/>
    </row>
    <row r="30" spans="1:6" s="617" customFormat="1" x14ac:dyDescent="0.35">
      <c r="F30" s="634"/>
    </row>
    <row r="31" spans="1:6" s="617" customFormat="1" x14ac:dyDescent="0.35">
      <c r="F31" s="634"/>
    </row>
    <row r="32" spans="1:6" s="617" customFormat="1" x14ac:dyDescent="0.35">
      <c r="F32" s="634"/>
    </row>
    <row r="33" spans="6:6" s="617" customFormat="1" x14ac:dyDescent="0.35">
      <c r="F33" s="634"/>
    </row>
    <row r="34" spans="6:6" s="617" customFormat="1" x14ac:dyDescent="0.35">
      <c r="F34" s="634"/>
    </row>
    <row r="35" spans="6:6" s="617" customFormat="1" x14ac:dyDescent="0.35">
      <c r="F35" s="634"/>
    </row>
    <row r="36" spans="6:6" s="617" customFormat="1" x14ac:dyDescent="0.35">
      <c r="F36" s="634"/>
    </row>
    <row r="37" spans="6:6" s="617" customFormat="1" x14ac:dyDescent="0.35">
      <c r="F37" s="634"/>
    </row>
    <row r="38" spans="6:6" s="617" customFormat="1" x14ac:dyDescent="0.35">
      <c r="F38" s="634"/>
    </row>
    <row r="39" spans="6:6" s="617" customFormat="1" x14ac:dyDescent="0.35">
      <c r="F39" s="634"/>
    </row>
    <row r="40" spans="6:6" s="617" customFormat="1" x14ac:dyDescent="0.35">
      <c r="F40" s="634"/>
    </row>
    <row r="41" spans="6:6" s="617" customFormat="1" x14ac:dyDescent="0.35">
      <c r="F41" s="634"/>
    </row>
    <row r="42" spans="6:6" s="617" customFormat="1" x14ac:dyDescent="0.35">
      <c r="F42" s="634"/>
    </row>
    <row r="43" spans="6:6" s="617" customFormat="1" x14ac:dyDescent="0.35">
      <c r="F43" s="634"/>
    </row>
    <row r="44" spans="6:6" s="617" customFormat="1" x14ac:dyDescent="0.35">
      <c r="F44" s="634"/>
    </row>
    <row r="45" spans="6:6" s="617" customFormat="1" x14ac:dyDescent="0.35">
      <c r="F45" s="634"/>
    </row>
    <row r="46" spans="6:6" s="617" customFormat="1" x14ac:dyDescent="0.35">
      <c r="F46" s="634"/>
    </row>
    <row r="47" spans="6:6" s="617" customFormat="1" x14ac:dyDescent="0.35">
      <c r="F47" s="634"/>
    </row>
    <row r="48" spans="6:6" s="617" customFormat="1" x14ac:dyDescent="0.35">
      <c r="F48" s="634"/>
    </row>
    <row r="49" spans="6:6" s="617" customFormat="1" x14ac:dyDescent="0.35">
      <c r="F49" s="634"/>
    </row>
    <row r="50" spans="6:6" s="617" customFormat="1" x14ac:dyDescent="0.35">
      <c r="F50" s="634"/>
    </row>
    <row r="51" spans="6:6" s="617" customFormat="1" x14ac:dyDescent="0.35">
      <c r="F51" s="634"/>
    </row>
    <row r="52" spans="6:6" s="617" customFormat="1" x14ac:dyDescent="0.35">
      <c r="F52" s="634"/>
    </row>
    <row r="53" spans="6:6" s="617" customFormat="1" x14ac:dyDescent="0.35">
      <c r="F53" s="634"/>
    </row>
    <row r="54" spans="6:6" s="617" customFormat="1" x14ac:dyDescent="0.35">
      <c r="F54" s="634"/>
    </row>
    <row r="55" spans="6:6" s="617" customFormat="1" x14ac:dyDescent="0.35">
      <c r="F55" s="634"/>
    </row>
    <row r="56" spans="6:6" s="617" customFormat="1" x14ac:dyDescent="0.35">
      <c r="F56" s="634"/>
    </row>
    <row r="57" spans="6:6" s="617" customFormat="1" x14ac:dyDescent="0.35">
      <c r="F57" s="634"/>
    </row>
    <row r="58" spans="6:6" s="617" customFormat="1" x14ac:dyDescent="0.35">
      <c r="F58" s="634"/>
    </row>
    <row r="59" spans="6:6" s="617" customFormat="1" x14ac:dyDescent="0.35">
      <c r="F59" s="634"/>
    </row>
    <row r="60" spans="6:6" s="617" customFormat="1" x14ac:dyDescent="0.35">
      <c r="F60" s="634"/>
    </row>
    <row r="61" spans="6:6" s="617" customFormat="1" x14ac:dyDescent="0.35">
      <c r="F61" s="634"/>
    </row>
    <row r="62" spans="6:6" s="617" customFormat="1" x14ac:dyDescent="0.35">
      <c r="F62" s="634"/>
    </row>
    <row r="63" spans="6:6" s="617" customFormat="1" x14ac:dyDescent="0.35">
      <c r="F63" s="634"/>
    </row>
    <row r="64" spans="6:6" s="617" customFormat="1" x14ac:dyDescent="0.35">
      <c r="F64" s="634"/>
    </row>
    <row r="65" spans="6:6" s="617" customFormat="1" x14ac:dyDescent="0.35">
      <c r="F65" s="634"/>
    </row>
    <row r="66" spans="6:6" s="617" customFormat="1" x14ac:dyDescent="0.35">
      <c r="F66" s="634"/>
    </row>
    <row r="67" spans="6:6" s="617" customFormat="1" x14ac:dyDescent="0.35">
      <c r="F67" s="634"/>
    </row>
    <row r="68" spans="6:6" s="617" customFormat="1" x14ac:dyDescent="0.35">
      <c r="F68" s="634"/>
    </row>
    <row r="69" spans="6:6" s="617" customFormat="1" x14ac:dyDescent="0.35">
      <c r="F69" s="634"/>
    </row>
    <row r="70" spans="6:6" s="617" customFormat="1" x14ac:dyDescent="0.35">
      <c r="F70" s="634"/>
    </row>
    <row r="71" spans="6:6" s="617" customFormat="1" x14ac:dyDescent="0.35">
      <c r="F71" s="634"/>
    </row>
    <row r="72" spans="6:6" s="617" customFormat="1" x14ac:dyDescent="0.35">
      <c r="F72" s="634"/>
    </row>
    <row r="73" spans="6:6" s="617" customFormat="1" x14ac:dyDescent="0.35">
      <c r="F73" s="634"/>
    </row>
    <row r="74" spans="6:6" s="617" customFormat="1" x14ac:dyDescent="0.35">
      <c r="F74" s="634"/>
    </row>
    <row r="75" spans="6:6" s="617" customFormat="1" x14ac:dyDescent="0.35">
      <c r="F75" s="634"/>
    </row>
    <row r="76" spans="6:6" s="617" customFormat="1" x14ac:dyDescent="0.35">
      <c r="F76" s="634"/>
    </row>
    <row r="77" spans="6:6" s="617" customFormat="1" x14ac:dyDescent="0.35">
      <c r="F77" s="634"/>
    </row>
    <row r="78" spans="6:6" s="617" customFormat="1" x14ac:dyDescent="0.35">
      <c r="F78" s="634"/>
    </row>
    <row r="79" spans="6:6" s="617" customFormat="1" x14ac:dyDescent="0.35">
      <c r="F79" s="634"/>
    </row>
    <row r="80" spans="6:6" s="617" customFormat="1" x14ac:dyDescent="0.35">
      <c r="F80" s="634"/>
    </row>
    <row r="81" spans="6:6" s="617" customFormat="1" x14ac:dyDescent="0.35">
      <c r="F81" s="634"/>
    </row>
    <row r="82" spans="6:6" s="617" customFormat="1" x14ac:dyDescent="0.35">
      <c r="F82" s="634"/>
    </row>
  </sheetData>
  <sheetProtection algorithmName="SHA-512" hashValue="bNgkr+hkRQOvrIFj0XVawA+JPBxiHTBedU+TT+cJO6BAvfPMrVlw6GKBKuBvQ41y4plbhK2OiQO+11V63e3V+g==" saltValue="uBGWIwuDek7eApd0Sqob0w==" spinCount="100000" sheet="1"/>
  <mergeCells count="2">
    <mergeCell ref="B1:E1"/>
    <mergeCell ref="D7:E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FF"/>
  </sheetPr>
  <dimension ref="A1:Q20"/>
  <sheetViews>
    <sheetView zoomScale="57" zoomScaleNormal="90" workbookViewId="0">
      <selection activeCell="D5" sqref="D5"/>
    </sheetView>
  </sheetViews>
  <sheetFormatPr baseColWidth="10" defaultColWidth="8.81640625" defaultRowHeight="15.5" x14ac:dyDescent="0.35"/>
  <cols>
    <col min="1" max="1" width="23" style="731" customWidth="1"/>
    <col min="2" max="2" width="19.1796875" style="731" bestFit="1" customWidth="1"/>
    <col min="3" max="3" width="23.453125" style="731" bestFit="1" customWidth="1"/>
    <col min="4" max="5" width="18.1796875" style="731" customWidth="1"/>
    <col min="6" max="6" width="18.1796875" style="617" customWidth="1"/>
    <col min="7" max="7" width="18.1796875" style="634" customWidth="1"/>
    <col min="8" max="15" width="18.1796875" style="731" customWidth="1"/>
    <col min="16" max="16" width="15.7265625" style="617" customWidth="1"/>
    <col min="17" max="17" width="15.7265625" style="845" customWidth="1"/>
    <col min="18" max="22" width="15.7265625" style="617" customWidth="1"/>
    <col min="23" max="16384" width="8.81640625" style="617"/>
  </cols>
  <sheetData>
    <row r="1" spans="1:17" ht="75" customHeight="1" x14ac:dyDescent="0.35">
      <c r="A1" s="990" t="s">
        <v>1000</v>
      </c>
      <c r="B1" s="1491" t="s">
        <v>1001</v>
      </c>
      <c r="C1" s="1492"/>
      <c r="D1" s="1492"/>
      <c r="E1" s="1493"/>
      <c r="K1" s="1471" t="s">
        <v>318</v>
      </c>
      <c r="L1" s="1472"/>
      <c r="M1" s="1472"/>
      <c r="N1" s="1472"/>
      <c r="O1" s="1472"/>
      <c r="P1" s="1473"/>
    </row>
    <row r="2" spans="1:17" ht="19.5" customHeight="1" x14ac:dyDescent="0.35">
      <c r="B2" s="1572"/>
      <c r="C2" s="1572"/>
      <c r="D2" s="1572"/>
      <c r="E2" s="1572"/>
      <c r="F2" s="1572"/>
      <c r="G2" s="1572"/>
      <c r="H2" s="1572"/>
      <c r="I2" s="652"/>
      <c r="K2" s="657" t="s">
        <v>319</v>
      </c>
      <c r="L2" s="658"/>
      <c r="M2" s="659" t="s">
        <v>320</v>
      </c>
      <c r="N2" s="660"/>
      <c r="O2" s="659" t="s">
        <v>321</v>
      </c>
      <c r="P2" s="661"/>
    </row>
    <row r="3" spans="1:17" ht="17.25" customHeight="1" x14ac:dyDescent="0.35">
      <c r="B3" s="1572"/>
      <c r="C3" s="1572"/>
      <c r="D3" s="1572"/>
      <c r="E3" s="1572"/>
      <c r="F3" s="1572"/>
      <c r="G3" s="1572"/>
      <c r="H3" s="1572"/>
      <c r="I3" s="652"/>
    </row>
    <row r="4" spans="1:17" ht="84" x14ac:dyDescent="0.35">
      <c r="B4" s="749" t="s">
        <v>1002</v>
      </c>
      <c r="C4" s="749" t="s">
        <v>1003</v>
      </c>
      <c r="D4" s="749" t="s">
        <v>1004</v>
      </c>
      <c r="F4" s="731"/>
      <c r="G4" s="617"/>
      <c r="H4" s="845"/>
      <c r="I4" s="617"/>
      <c r="J4" s="617"/>
      <c r="K4" s="617"/>
      <c r="L4" s="617"/>
      <c r="M4" s="617"/>
      <c r="N4" s="617"/>
      <c r="O4" s="617"/>
      <c r="Q4" s="617"/>
    </row>
    <row r="5" spans="1:17" ht="21" x14ac:dyDescent="0.35">
      <c r="A5" s="749" t="s">
        <v>327</v>
      </c>
      <c r="B5" s="1076">
        <f>SUM(M9:M18)</f>
        <v>0</v>
      </c>
      <c r="C5" s="1077">
        <f>SUM(N9:N18)</f>
        <v>0</v>
      </c>
      <c r="D5" s="1077">
        <f>SUM(O9:O18)</f>
        <v>0</v>
      </c>
      <c r="F5" s="731"/>
      <c r="G5" s="617"/>
      <c r="H5" s="845"/>
      <c r="I5" s="617"/>
      <c r="J5" s="617"/>
      <c r="K5" s="617"/>
      <c r="L5" s="617"/>
      <c r="M5" s="617"/>
      <c r="N5" s="617"/>
      <c r="O5" s="617"/>
      <c r="Q5" s="617"/>
    </row>
    <row r="6" spans="1:17" x14ac:dyDescent="0.35">
      <c r="F6" s="731"/>
      <c r="G6" s="617"/>
      <c r="H6" s="845"/>
      <c r="I6" s="617"/>
      <c r="J6" s="617"/>
      <c r="K6" s="617"/>
      <c r="L6" s="617"/>
      <c r="M6" s="617"/>
      <c r="N6" s="617"/>
      <c r="O6" s="617"/>
      <c r="Q6" s="617"/>
    </row>
    <row r="7" spans="1:17" s="667" customFormat="1" ht="24" thickBot="1" x14ac:dyDescent="0.6">
      <c r="A7" s="836"/>
      <c r="B7" s="836"/>
      <c r="C7" s="836"/>
      <c r="D7" s="836"/>
      <c r="E7" s="1477" t="s">
        <v>330</v>
      </c>
      <c r="F7" s="1478"/>
      <c r="H7" s="648"/>
    </row>
    <row r="8" spans="1:17" s="845" customFormat="1" ht="77.5" x14ac:dyDescent="0.35">
      <c r="A8" s="672" t="s">
        <v>1005</v>
      </c>
      <c r="B8" s="672" t="s">
        <v>1006</v>
      </c>
      <c r="C8" s="672" t="s">
        <v>1007</v>
      </c>
      <c r="D8" s="672" t="s">
        <v>1008</v>
      </c>
      <c r="E8" s="672" t="s">
        <v>1009</v>
      </c>
      <c r="F8" s="672" t="s">
        <v>1010</v>
      </c>
      <c r="G8" s="672" t="s">
        <v>1011</v>
      </c>
      <c r="H8" s="672" t="s">
        <v>1012</v>
      </c>
      <c r="I8" s="672" t="s">
        <v>1013</v>
      </c>
      <c r="J8" s="672" t="s">
        <v>1014</v>
      </c>
      <c r="K8" s="672" t="s">
        <v>1015</v>
      </c>
      <c r="L8" s="718" t="s">
        <v>1016</v>
      </c>
      <c r="M8" s="1078" t="s">
        <v>1002</v>
      </c>
      <c r="N8" s="1079" t="s">
        <v>1003</v>
      </c>
      <c r="O8" s="1080" t="s">
        <v>1004</v>
      </c>
    </row>
    <row r="9" spans="1:17" ht="25" customHeight="1" x14ac:dyDescent="0.35">
      <c r="A9" s="692"/>
      <c r="B9" s="692"/>
      <c r="C9" s="1037"/>
      <c r="D9" s="663">
        <f>SUM(23.3/100)*C9</f>
        <v>0</v>
      </c>
      <c r="E9" s="663">
        <f>SUM(D9*1.4375)</f>
        <v>0</v>
      </c>
      <c r="F9" s="955">
        <f>SUM(E9)*(0.052/0.106)</f>
        <v>0</v>
      </c>
      <c r="G9" s="964">
        <f>SUM(0.191/0.106)*E9</f>
        <v>0</v>
      </c>
      <c r="H9" s="955">
        <f>SUM(G9*0.55)</f>
        <v>0</v>
      </c>
      <c r="I9" s="955">
        <f>SUM(0.023/0.106)*E9</f>
        <v>0</v>
      </c>
      <c r="J9" s="955">
        <f>SUM(0.128/0.106)*E9</f>
        <v>0</v>
      </c>
      <c r="K9" s="955">
        <f>SUM(I9+J9+G9)*0.25*0.48</f>
        <v>0</v>
      </c>
      <c r="L9" s="914">
        <f>SUM(G9*0.45)</f>
        <v>0</v>
      </c>
      <c r="M9" s="1081">
        <f>F9+H9</f>
        <v>0</v>
      </c>
      <c r="N9" s="623">
        <f>I9+J9+K9+L9</f>
        <v>0</v>
      </c>
      <c r="O9" s="679">
        <f>M9-N9</f>
        <v>0</v>
      </c>
      <c r="Q9" s="617"/>
    </row>
    <row r="10" spans="1:17" ht="25" customHeight="1" x14ac:dyDescent="0.35">
      <c r="A10" s="692"/>
      <c r="B10" s="692"/>
      <c r="C10" s="1037"/>
      <c r="D10" s="663">
        <f t="shared" ref="D10:D17" si="0">SUM(23.3/100)*C10</f>
        <v>0</v>
      </c>
      <c r="E10" s="663">
        <f t="shared" ref="E10:E14" si="1">SUM(D10*1.4375)</f>
        <v>0</v>
      </c>
      <c r="F10" s="955">
        <f t="shared" ref="F10:F14" si="2">SUM(E10)*(0.052/0.106)</f>
        <v>0</v>
      </c>
      <c r="G10" s="955">
        <f t="shared" ref="G10:G14" si="3">SUM(0.191/0.106)*E10</f>
        <v>0</v>
      </c>
      <c r="H10" s="955">
        <f t="shared" ref="H10:H14" si="4">SUM(G10*0.55)</f>
        <v>0</v>
      </c>
      <c r="I10" s="955">
        <f t="shared" ref="I10:I14" si="5">SUM(0.023/0.106)*E10</f>
        <v>0</v>
      </c>
      <c r="J10" s="955">
        <f t="shared" ref="J10:J14" si="6">SUM(0.128/0.106)*E10</f>
        <v>0</v>
      </c>
      <c r="K10" s="955">
        <f t="shared" ref="K10:K14" si="7">SUM(I10+J10+G10)*0.25*0.48</f>
        <v>0</v>
      </c>
      <c r="L10" s="914">
        <f t="shared" ref="L10:L14" si="8">SUM(G10*0.45)</f>
        <v>0</v>
      </c>
      <c r="M10" s="1081">
        <f t="shared" ref="M10:M14" si="9">F10+H10</f>
        <v>0</v>
      </c>
      <c r="N10" s="623">
        <f t="shared" ref="N10:N14" si="10">I10+J10+K10+L10</f>
        <v>0</v>
      </c>
      <c r="O10" s="679">
        <f t="shared" ref="O10:O14" si="11">M10-N10</f>
        <v>0</v>
      </c>
      <c r="Q10" s="617"/>
    </row>
    <row r="11" spans="1:17" ht="25" customHeight="1" x14ac:dyDescent="0.35">
      <c r="A11" s="692"/>
      <c r="B11" s="692"/>
      <c r="C11" s="1037"/>
      <c r="D11" s="663">
        <f t="shared" si="0"/>
        <v>0</v>
      </c>
      <c r="E11" s="663">
        <f t="shared" si="1"/>
        <v>0</v>
      </c>
      <c r="F11" s="955">
        <f t="shared" si="2"/>
        <v>0</v>
      </c>
      <c r="G11" s="955">
        <f t="shared" si="3"/>
        <v>0</v>
      </c>
      <c r="H11" s="955">
        <f t="shared" si="4"/>
        <v>0</v>
      </c>
      <c r="I11" s="955">
        <f t="shared" si="5"/>
        <v>0</v>
      </c>
      <c r="J11" s="955">
        <f t="shared" si="6"/>
        <v>0</v>
      </c>
      <c r="K11" s="955">
        <f t="shared" si="7"/>
        <v>0</v>
      </c>
      <c r="L11" s="914">
        <f t="shared" si="8"/>
        <v>0</v>
      </c>
      <c r="M11" s="1081">
        <f t="shared" si="9"/>
        <v>0</v>
      </c>
      <c r="N11" s="623">
        <f t="shared" si="10"/>
        <v>0</v>
      </c>
      <c r="O11" s="679">
        <f t="shared" si="11"/>
        <v>0</v>
      </c>
      <c r="Q11" s="617"/>
    </row>
    <row r="12" spans="1:17" ht="25" customHeight="1" x14ac:dyDescent="0.35">
      <c r="A12" s="692"/>
      <c r="B12" s="692"/>
      <c r="C12" s="1037"/>
      <c r="D12" s="663">
        <f t="shared" si="0"/>
        <v>0</v>
      </c>
      <c r="E12" s="663">
        <f t="shared" si="1"/>
        <v>0</v>
      </c>
      <c r="F12" s="955">
        <f t="shared" si="2"/>
        <v>0</v>
      </c>
      <c r="G12" s="955">
        <f t="shared" si="3"/>
        <v>0</v>
      </c>
      <c r="H12" s="955">
        <f t="shared" si="4"/>
        <v>0</v>
      </c>
      <c r="I12" s="955">
        <f t="shared" si="5"/>
        <v>0</v>
      </c>
      <c r="J12" s="955">
        <f t="shared" si="6"/>
        <v>0</v>
      </c>
      <c r="K12" s="955">
        <f t="shared" si="7"/>
        <v>0</v>
      </c>
      <c r="L12" s="914">
        <f t="shared" si="8"/>
        <v>0</v>
      </c>
      <c r="M12" s="1081">
        <f t="shared" si="9"/>
        <v>0</v>
      </c>
      <c r="N12" s="623">
        <f t="shared" si="10"/>
        <v>0</v>
      </c>
      <c r="O12" s="679">
        <f t="shared" si="11"/>
        <v>0</v>
      </c>
      <c r="Q12" s="617"/>
    </row>
    <row r="13" spans="1:17" ht="25" customHeight="1" x14ac:dyDescent="0.35">
      <c r="A13" s="692"/>
      <c r="B13" s="692"/>
      <c r="C13" s="1037"/>
      <c r="D13" s="663">
        <f t="shared" si="0"/>
        <v>0</v>
      </c>
      <c r="E13" s="663">
        <f t="shared" si="1"/>
        <v>0</v>
      </c>
      <c r="F13" s="955">
        <f t="shared" si="2"/>
        <v>0</v>
      </c>
      <c r="G13" s="955">
        <f t="shared" si="3"/>
        <v>0</v>
      </c>
      <c r="H13" s="955">
        <f t="shared" si="4"/>
        <v>0</v>
      </c>
      <c r="I13" s="955">
        <f t="shared" si="5"/>
        <v>0</v>
      </c>
      <c r="J13" s="955">
        <f t="shared" si="6"/>
        <v>0</v>
      </c>
      <c r="K13" s="955">
        <f t="shared" si="7"/>
        <v>0</v>
      </c>
      <c r="L13" s="914">
        <f t="shared" si="8"/>
        <v>0</v>
      </c>
      <c r="M13" s="1081">
        <f t="shared" si="9"/>
        <v>0</v>
      </c>
      <c r="N13" s="623">
        <f t="shared" si="10"/>
        <v>0</v>
      </c>
      <c r="O13" s="679">
        <f t="shared" si="11"/>
        <v>0</v>
      </c>
      <c r="Q13" s="617"/>
    </row>
    <row r="14" spans="1:17" ht="25" customHeight="1" x14ac:dyDescent="0.35">
      <c r="A14" s="692"/>
      <c r="B14" s="692"/>
      <c r="C14" s="1037"/>
      <c r="D14" s="663">
        <f t="shared" si="0"/>
        <v>0</v>
      </c>
      <c r="E14" s="663">
        <f t="shared" si="1"/>
        <v>0</v>
      </c>
      <c r="F14" s="955">
        <f t="shared" si="2"/>
        <v>0</v>
      </c>
      <c r="G14" s="964">
        <f t="shared" si="3"/>
        <v>0</v>
      </c>
      <c r="H14" s="955">
        <f t="shared" si="4"/>
        <v>0</v>
      </c>
      <c r="I14" s="955">
        <f t="shared" si="5"/>
        <v>0</v>
      </c>
      <c r="J14" s="955">
        <f t="shared" si="6"/>
        <v>0</v>
      </c>
      <c r="K14" s="955">
        <f t="shared" si="7"/>
        <v>0</v>
      </c>
      <c r="L14" s="914">
        <f t="shared" si="8"/>
        <v>0</v>
      </c>
      <c r="M14" s="1081">
        <f t="shared" si="9"/>
        <v>0</v>
      </c>
      <c r="N14" s="623">
        <f t="shared" si="10"/>
        <v>0</v>
      </c>
      <c r="O14" s="679">
        <f t="shared" si="11"/>
        <v>0</v>
      </c>
      <c r="Q14" s="617"/>
    </row>
    <row r="15" spans="1:17" ht="25" customHeight="1" x14ac:dyDescent="0.35">
      <c r="A15" s="692"/>
      <c r="B15" s="692"/>
      <c r="C15" s="1037"/>
      <c r="D15" s="663">
        <f t="shared" si="0"/>
        <v>0</v>
      </c>
      <c r="E15" s="663">
        <f t="shared" ref="E15:E17" si="12">SUM(D15*1.4375)</f>
        <v>0</v>
      </c>
      <c r="F15" s="955">
        <f t="shared" ref="F15:F17" si="13">SUM(E15)*(0.052/0.106)</f>
        <v>0</v>
      </c>
      <c r="G15" s="955">
        <f t="shared" ref="G15:G17" si="14">SUM(0.191/0.106)*E15</f>
        <v>0</v>
      </c>
      <c r="H15" s="955">
        <f t="shared" ref="H15:H17" si="15">SUM(G15*0.55)</f>
        <v>0</v>
      </c>
      <c r="I15" s="955">
        <f t="shared" ref="I15:I17" si="16">SUM(0.023/0.106)*E15</f>
        <v>0</v>
      </c>
      <c r="J15" s="955">
        <f t="shared" ref="J15:J17" si="17">SUM(0.128/0.106)*E15</f>
        <v>0</v>
      </c>
      <c r="K15" s="955">
        <f t="shared" ref="K15:K17" si="18">SUM(I15+J15+G15)*0.25*0.48</f>
        <v>0</v>
      </c>
      <c r="L15" s="914">
        <f t="shared" ref="L15:L17" si="19">SUM(G15*0.45)</f>
        <v>0</v>
      </c>
      <c r="M15" s="1081">
        <f t="shared" ref="M15:M17" si="20">F15+H15</f>
        <v>0</v>
      </c>
      <c r="N15" s="623">
        <f t="shared" ref="N15:N17" si="21">I15+J15+K15+L15</f>
        <v>0</v>
      </c>
      <c r="O15" s="679">
        <f t="shared" ref="O15:O17" si="22">M15-N15</f>
        <v>0</v>
      </c>
      <c r="Q15" s="617"/>
    </row>
    <row r="16" spans="1:17" ht="25" customHeight="1" x14ac:dyDescent="0.35">
      <c r="A16" s="692"/>
      <c r="B16" s="692"/>
      <c r="C16" s="1037"/>
      <c r="D16" s="663">
        <f t="shared" si="0"/>
        <v>0</v>
      </c>
      <c r="E16" s="663">
        <f t="shared" si="12"/>
        <v>0</v>
      </c>
      <c r="F16" s="955">
        <f t="shared" si="13"/>
        <v>0</v>
      </c>
      <c r="G16" s="955">
        <f t="shared" si="14"/>
        <v>0</v>
      </c>
      <c r="H16" s="955">
        <f t="shared" si="15"/>
        <v>0</v>
      </c>
      <c r="I16" s="955">
        <f t="shared" si="16"/>
        <v>0</v>
      </c>
      <c r="J16" s="955">
        <f t="shared" si="17"/>
        <v>0</v>
      </c>
      <c r="K16" s="955">
        <f t="shared" si="18"/>
        <v>0</v>
      </c>
      <c r="L16" s="914">
        <f t="shared" si="19"/>
        <v>0</v>
      </c>
      <c r="M16" s="1081">
        <f t="shared" si="20"/>
        <v>0</v>
      </c>
      <c r="N16" s="623">
        <f t="shared" si="21"/>
        <v>0</v>
      </c>
      <c r="O16" s="679">
        <f t="shared" si="22"/>
        <v>0</v>
      </c>
      <c r="Q16" s="617"/>
    </row>
    <row r="17" spans="1:15" s="617" customFormat="1" ht="25" customHeight="1" x14ac:dyDescent="0.35">
      <c r="A17" s="692"/>
      <c r="B17" s="692"/>
      <c r="C17" s="1037"/>
      <c r="D17" s="663">
        <f t="shared" si="0"/>
        <v>0</v>
      </c>
      <c r="E17" s="663">
        <f t="shared" si="12"/>
        <v>0</v>
      </c>
      <c r="F17" s="955">
        <f t="shared" si="13"/>
        <v>0</v>
      </c>
      <c r="G17" s="955">
        <f t="shared" si="14"/>
        <v>0</v>
      </c>
      <c r="H17" s="955">
        <f t="shared" si="15"/>
        <v>0</v>
      </c>
      <c r="I17" s="955">
        <f t="shared" si="16"/>
        <v>0</v>
      </c>
      <c r="J17" s="955">
        <f t="shared" si="17"/>
        <v>0</v>
      </c>
      <c r="K17" s="955">
        <f t="shared" si="18"/>
        <v>0</v>
      </c>
      <c r="L17" s="914">
        <f t="shared" si="19"/>
        <v>0</v>
      </c>
      <c r="M17" s="1081">
        <f t="shared" si="20"/>
        <v>0</v>
      </c>
      <c r="N17" s="623">
        <f t="shared" si="21"/>
        <v>0</v>
      </c>
      <c r="O17" s="679">
        <f t="shared" si="22"/>
        <v>0</v>
      </c>
    </row>
    <row r="18" spans="1:15" s="617" customFormat="1" ht="25" customHeight="1" thickBot="1" x14ac:dyDescent="0.4">
      <c r="A18" s="692"/>
      <c r="B18" s="692"/>
      <c r="C18" s="1037"/>
      <c r="D18" s="663">
        <f t="shared" ref="D18" si="23">SUM(23.3/100)*C18</f>
        <v>0</v>
      </c>
      <c r="E18" s="663">
        <f t="shared" ref="E18" si="24">SUM(D18*1.4375)</f>
        <v>0</v>
      </c>
      <c r="F18" s="955">
        <f t="shared" ref="F18" si="25">SUM(E18)*(0.052/0.106)</f>
        <v>0</v>
      </c>
      <c r="G18" s="955">
        <f t="shared" ref="G18" si="26">SUM(0.191/0.106)*E18</f>
        <v>0</v>
      </c>
      <c r="H18" s="955">
        <f t="shared" ref="H18" si="27">SUM(G18*0.55)</f>
        <v>0</v>
      </c>
      <c r="I18" s="955">
        <f t="shared" ref="I18" si="28">SUM(0.023/0.106)*E18</f>
        <v>0</v>
      </c>
      <c r="J18" s="955">
        <f t="shared" ref="J18" si="29">SUM(0.128/0.106)*E18</f>
        <v>0</v>
      </c>
      <c r="K18" s="955">
        <f t="shared" ref="K18" si="30">SUM(I18+J18+G18)*0.25*0.48</f>
        <v>0</v>
      </c>
      <c r="L18" s="914">
        <f t="shared" ref="L18" si="31">SUM(G18*0.45)</f>
        <v>0</v>
      </c>
      <c r="M18" s="1082">
        <f t="shared" ref="M18" si="32">F18+H18</f>
        <v>0</v>
      </c>
      <c r="N18" s="1083">
        <f t="shared" ref="N18" si="33">I18+J18+K18+L18</f>
        <v>0</v>
      </c>
      <c r="O18" s="1084">
        <f t="shared" ref="O18" si="34">M18-N18</f>
        <v>0</v>
      </c>
    </row>
    <row r="19" spans="1:15" s="617" customFormat="1" x14ac:dyDescent="0.35">
      <c r="A19" s="731"/>
      <c r="B19" s="731"/>
      <c r="D19" s="634"/>
      <c r="E19" s="731"/>
      <c r="F19" s="731"/>
      <c r="G19" s="731"/>
      <c r="H19" s="731"/>
      <c r="I19" s="731"/>
      <c r="J19" s="731"/>
      <c r="K19" s="731"/>
      <c r="L19" s="731"/>
      <c r="N19" s="845"/>
    </row>
    <row r="20" spans="1:15" s="617" customFormat="1" x14ac:dyDescent="0.35">
      <c r="A20" s="731"/>
      <c r="B20" s="731"/>
      <c r="D20" s="634"/>
      <c r="E20" s="731"/>
      <c r="F20" s="731"/>
      <c r="G20" s="731"/>
      <c r="H20" s="731"/>
      <c r="I20" s="731"/>
      <c r="J20" s="731"/>
      <c r="K20" s="731"/>
      <c r="L20" s="731"/>
      <c r="N20" s="845"/>
    </row>
  </sheetData>
  <sheetProtection algorithmName="SHA-512" hashValue="k7FWOTd/YapARmIS9yeU+dNyKBYrcWtjXarM94p+677G7OAE97qfxcPnMcSKKtenxMakYO8idJB8uzyNnrUChQ==" saltValue="z/SiYLjUyR6eL4vjAPCEXw==" spinCount="100000" sheet="1"/>
  <mergeCells count="5">
    <mergeCell ref="B2:H2"/>
    <mergeCell ref="B3:H3"/>
    <mergeCell ref="K1:P1"/>
    <mergeCell ref="B1:E1"/>
    <mergeCell ref="E7:F7"/>
  </mergeCells>
  <pageMargins left="0.7" right="0.7" top="0.75" bottom="0.75" header="0.3" footer="0.3"/>
  <pageSetup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BE74-69E1-442B-9F5A-4ECAC33D6CFE}">
  <sheetPr>
    <tabColor rgb="FFFF99FF"/>
  </sheetPr>
  <dimension ref="A1:Y43"/>
  <sheetViews>
    <sheetView topLeftCell="I18" zoomScale="70" zoomScaleNormal="70" workbookViewId="0">
      <selection activeCell="M43" sqref="M43"/>
    </sheetView>
  </sheetViews>
  <sheetFormatPr baseColWidth="10" defaultColWidth="9.1796875" defaultRowHeight="15.5" x14ac:dyDescent="0.35"/>
  <cols>
    <col min="1" max="1" width="19.1796875" style="24" bestFit="1" customWidth="1"/>
    <col min="2" max="3" width="20.453125" style="24" customWidth="1"/>
    <col min="4" max="4" width="15.81640625" style="24" customWidth="1"/>
    <col min="5" max="5" width="16.26953125" style="24" customWidth="1"/>
    <col min="6" max="6" width="14.26953125" style="24" customWidth="1"/>
    <col min="7" max="7" width="15.7265625" style="24" customWidth="1"/>
    <col min="8" max="8" width="17.453125" style="24" customWidth="1"/>
    <col min="9" max="9" width="13.81640625" style="24" customWidth="1"/>
    <col min="10" max="10" width="19.7265625" style="24" bestFit="1" customWidth="1"/>
    <col min="11" max="11" width="16.26953125" style="24" customWidth="1"/>
    <col min="12" max="12" width="12.7265625" style="24" customWidth="1"/>
    <col min="13" max="13" width="20" style="24" customWidth="1"/>
    <col min="14" max="14" width="20.81640625" style="24" customWidth="1"/>
    <col min="15" max="15" width="22.7265625" style="24" customWidth="1"/>
    <col min="16" max="16" width="13.26953125" style="24" customWidth="1"/>
    <col min="17" max="17" width="9.1796875" style="24"/>
    <col min="18" max="18" width="13.453125" style="24" customWidth="1"/>
    <col min="19" max="16384" width="9.1796875" style="24"/>
  </cols>
  <sheetData>
    <row r="1" spans="1:14" ht="75.650000000000006" customHeight="1" thickBot="1" x14ac:dyDescent="0.4">
      <c r="A1" s="1085" t="s">
        <v>1017</v>
      </c>
      <c r="B1" s="1612" t="s">
        <v>1018</v>
      </c>
      <c r="C1" s="1613"/>
      <c r="D1" s="1613"/>
      <c r="E1" s="1614"/>
      <c r="I1" s="1599" t="s">
        <v>318</v>
      </c>
      <c r="J1" s="1600"/>
      <c r="K1" s="1600"/>
      <c r="L1" s="1600"/>
      <c r="M1" s="1600"/>
      <c r="N1" s="1601"/>
    </row>
    <row r="2" spans="1:14" ht="27.75" customHeight="1" x14ac:dyDescent="0.35">
      <c r="I2" s="1086" t="s">
        <v>319</v>
      </c>
      <c r="J2" s="1087"/>
      <c r="K2" s="1088" t="s">
        <v>320</v>
      </c>
      <c r="L2" s="1089"/>
      <c r="M2" s="1088" t="s">
        <v>321</v>
      </c>
      <c r="N2" s="247"/>
    </row>
    <row r="3" spans="1:14" ht="57.75" customHeight="1" x14ac:dyDescent="0.35"/>
    <row r="4" spans="1:14" ht="74" x14ac:dyDescent="0.35">
      <c r="A4" s="248"/>
      <c r="B4" s="1090" t="s">
        <v>1003</v>
      </c>
      <c r="D4" s="262"/>
      <c r="E4" s="262"/>
      <c r="F4" s="262"/>
      <c r="G4" s="262"/>
      <c r="H4" s="262"/>
      <c r="I4" s="262"/>
    </row>
    <row r="5" spans="1:14" ht="55.5" x14ac:dyDescent="0.35">
      <c r="A5" s="1090" t="s">
        <v>1019</v>
      </c>
      <c r="B5" s="1091">
        <f>-SUM(J9:J33)</f>
        <v>0</v>
      </c>
    </row>
    <row r="7" spans="1:14" s="253" customFormat="1" ht="24" thickBot="1" x14ac:dyDescent="0.6">
      <c r="A7" s="1092"/>
      <c r="D7" s="1610" t="s">
        <v>330</v>
      </c>
      <c r="E7" s="1611"/>
      <c r="G7" s="1093"/>
    </row>
    <row r="8" spans="1:14" ht="46.5" x14ac:dyDescent="0.35">
      <c r="A8" s="1094" t="s">
        <v>836</v>
      </c>
      <c r="B8" s="1095" t="s">
        <v>1020</v>
      </c>
      <c r="C8" s="1095" t="s">
        <v>1021</v>
      </c>
      <c r="D8" s="1095" t="s">
        <v>1022</v>
      </c>
      <c r="E8" s="1095" t="s">
        <v>1023</v>
      </c>
      <c r="F8" s="1095" t="s">
        <v>1024</v>
      </c>
      <c r="G8" s="1095" t="s">
        <v>1025</v>
      </c>
      <c r="H8" s="1095" t="s">
        <v>1026</v>
      </c>
      <c r="I8" s="1096" t="s">
        <v>1027</v>
      </c>
      <c r="J8" s="1097" t="s">
        <v>324</v>
      </c>
      <c r="M8" s="1098"/>
    </row>
    <row r="9" spans="1:14" x14ac:dyDescent="0.35">
      <c r="A9" s="1099"/>
      <c r="B9" s="1100"/>
      <c r="C9" s="729"/>
      <c r="D9" s="1101"/>
      <c r="E9" s="1102">
        <f>D9*1.10231</f>
        <v>0</v>
      </c>
      <c r="F9" s="1103">
        <f>E9*0.25</f>
        <v>0</v>
      </c>
      <c r="G9" s="1104">
        <f>F9*3.67</f>
        <v>0</v>
      </c>
      <c r="H9" s="1104">
        <f>G9*0.907</f>
        <v>0</v>
      </c>
      <c r="I9" s="1105"/>
      <c r="J9" s="1106">
        <f>H9*I9</f>
        <v>0</v>
      </c>
    </row>
    <row r="10" spans="1:14" x14ac:dyDescent="0.35">
      <c r="A10" s="1100"/>
      <c r="B10" s="1100"/>
      <c r="C10" s="729"/>
      <c r="D10" s="1101"/>
      <c r="E10" s="1102">
        <f t="shared" ref="E10:E33" si="0">D10*1.10231</f>
        <v>0</v>
      </c>
      <c r="F10" s="1103">
        <f t="shared" ref="F10:F33" si="1">E10*0.25</f>
        <v>0</v>
      </c>
      <c r="G10" s="1104">
        <f>F10*3.67</f>
        <v>0</v>
      </c>
      <c r="H10" s="1104">
        <f t="shared" ref="H10:H13" si="2">G10*0.907</f>
        <v>0</v>
      </c>
      <c r="I10" s="1105"/>
      <c r="J10" s="1106">
        <f t="shared" ref="J10:J33" si="3">H10*I10</f>
        <v>0</v>
      </c>
    </row>
    <row r="11" spans="1:14" x14ac:dyDescent="0.35">
      <c r="A11" s="1100"/>
      <c r="B11" s="1100"/>
      <c r="C11" s="729"/>
      <c r="D11" s="1101"/>
      <c r="E11" s="1102">
        <f t="shared" si="0"/>
        <v>0</v>
      </c>
      <c r="F11" s="1103">
        <f t="shared" si="1"/>
        <v>0</v>
      </c>
      <c r="G11" s="1104">
        <f t="shared" ref="G11:G33" si="4">F11*3.67</f>
        <v>0</v>
      </c>
      <c r="H11" s="1104">
        <f t="shared" si="2"/>
        <v>0</v>
      </c>
      <c r="I11" s="1105"/>
      <c r="J11" s="1106">
        <f t="shared" si="3"/>
        <v>0</v>
      </c>
    </row>
    <row r="12" spans="1:14" x14ac:dyDescent="0.35">
      <c r="A12" s="1100"/>
      <c r="B12" s="1100"/>
      <c r="C12" s="729"/>
      <c r="D12" s="1101"/>
      <c r="E12" s="1102">
        <f t="shared" si="0"/>
        <v>0</v>
      </c>
      <c r="F12" s="1103">
        <f t="shared" si="1"/>
        <v>0</v>
      </c>
      <c r="G12" s="1104">
        <f t="shared" si="4"/>
        <v>0</v>
      </c>
      <c r="H12" s="1104">
        <f t="shared" si="2"/>
        <v>0</v>
      </c>
      <c r="I12" s="1105"/>
      <c r="J12" s="1106">
        <f t="shared" si="3"/>
        <v>0</v>
      </c>
    </row>
    <row r="13" spans="1:14" x14ac:dyDescent="0.35">
      <c r="A13" s="1100"/>
      <c r="B13" s="1100"/>
      <c r="C13" s="729"/>
      <c r="D13" s="1101"/>
      <c r="E13" s="1102">
        <f t="shared" si="0"/>
        <v>0</v>
      </c>
      <c r="F13" s="1103">
        <f t="shared" si="1"/>
        <v>0</v>
      </c>
      <c r="G13" s="1104">
        <f t="shared" si="4"/>
        <v>0</v>
      </c>
      <c r="H13" s="1104">
        <f t="shared" si="2"/>
        <v>0</v>
      </c>
      <c r="I13" s="1105"/>
      <c r="J13" s="1106">
        <f t="shared" si="3"/>
        <v>0</v>
      </c>
    </row>
    <row r="14" spans="1:14" x14ac:dyDescent="0.35">
      <c r="A14" s="1100"/>
      <c r="B14" s="1100"/>
      <c r="C14" s="729"/>
      <c r="D14" s="1101"/>
      <c r="E14" s="1102">
        <f t="shared" si="0"/>
        <v>0</v>
      </c>
      <c r="F14" s="1103">
        <f t="shared" si="1"/>
        <v>0</v>
      </c>
      <c r="G14" s="1104">
        <f t="shared" si="4"/>
        <v>0</v>
      </c>
      <c r="H14" s="1104">
        <f t="shared" ref="H14:H33" si="5">G14*0.907</f>
        <v>0</v>
      </c>
      <c r="I14" s="1105"/>
      <c r="J14" s="1106">
        <f t="shared" si="3"/>
        <v>0</v>
      </c>
    </row>
    <row r="15" spans="1:14" x14ac:dyDescent="0.35">
      <c r="A15" s="1100"/>
      <c r="B15" s="1100"/>
      <c r="C15" s="729"/>
      <c r="D15" s="1101"/>
      <c r="E15" s="1102">
        <f t="shared" si="0"/>
        <v>0</v>
      </c>
      <c r="F15" s="1103">
        <f t="shared" si="1"/>
        <v>0</v>
      </c>
      <c r="G15" s="1104">
        <f t="shared" si="4"/>
        <v>0</v>
      </c>
      <c r="H15" s="1104">
        <f t="shared" si="5"/>
        <v>0</v>
      </c>
      <c r="I15" s="1105"/>
      <c r="J15" s="1106">
        <f t="shared" si="3"/>
        <v>0</v>
      </c>
    </row>
    <row r="16" spans="1:14" x14ac:dyDescent="0.35">
      <c r="A16" s="1100"/>
      <c r="B16" s="1100"/>
      <c r="C16" s="729"/>
      <c r="D16" s="1101"/>
      <c r="E16" s="1102">
        <f t="shared" si="0"/>
        <v>0</v>
      </c>
      <c r="F16" s="1103">
        <f t="shared" si="1"/>
        <v>0</v>
      </c>
      <c r="G16" s="1104">
        <f t="shared" si="4"/>
        <v>0</v>
      </c>
      <c r="H16" s="1104">
        <f t="shared" si="5"/>
        <v>0</v>
      </c>
      <c r="I16" s="1105"/>
      <c r="J16" s="1106">
        <f t="shared" si="3"/>
        <v>0</v>
      </c>
    </row>
    <row r="17" spans="1:10" x14ac:dyDescent="0.35">
      <c r="A17" s="1100"/>
      <c r="B17" s="1100"/>
      <c r="C17" s="729"/>
      <c r="D17" s="1101"/>
      <c r="E17" s="1102">
        <f t="shared" si="0"/>
        <v>0</v>
      </c>
      <c r="F17" s="1103">
        <f t="shared" si="1"/>
        <v>0</v>
      </c>
      <c r="G17" s="1104">
        <f t="shared" si="4"/>
        <v>0</v>
      </c>
      <c r="H17" s="1104">
        <f t="shared" si="5"/>
        <v>0</v>
      </c>
      <c r="I17" s="1105"/>
      <c r="J17" s="1106">
        <f t="shared" si="3"/>
        <v>0</v>
      </c>
    </row>
    <row r="18" spans="1:10" x14ac:dyDescent="0.35">
      <c r="A18" s="1100"/>
      <c r="B18" s="1100"/>
      <c r="C18" s="729"/>
      <c r="D18" s="1101"/>
      <c r="E18" s="1102">
        <f t="shared" si="0"/>
        <v>0</v>
      </c>
      <c r="F18" s="1103">
        <f t="shared" si="1"/>
        <v>0</v>
      </c>
      <c r="G18" s="1104">
        <f t="shared" si="4"/>
        <v>0</v>
      </c>
      <c r="H18" s="1104">
        <f t="shared" si="5"/>
        <v>0</v>
      </c>
      <c r="I18" s="1105"/>
      <c r="J18" s="1106">
        <f t="shared" si="3"/>
        <v>0</v>
      </c>
    </row>
    <row r="19" spans="1:10" x14ac:dyDescent="0.35">
      <c r="A19" s="1100"/>
      <c r="B19" s="1100"/>
      <c r="C19" s="729"/>
      <c r="D19" s="1101"/>
      <c r="E19" s="1102">
        <f t="shared" si="0"/>
        <v>0</v>
      </c>
      <c r="F19" s="1103">
        <f t="shared" si="1"/>
        <v>0</v>
      </c>
      <c r="G19" s="1104">
        <f t="shared" si="4"/>
        <v>0</v>
      </c>
      <c r="H19" s="1104">
        <f t="shared" si="5"/>
        <v>0</v>
      </c>
      <c r="I19" s="1105"/>
      <c r="J19" s="1106">
        <f t="shared" si="3"/>
        <v>0</v>
      </c>
    </row>
    <row r="20" spans="1:10" x14ac:dyDescent="0.35">
      <c r="A20" s="1100"/>
      <c r="B20" s="1100"/>
      <c r="C20" s="729"/>
      <c r="D20" s="1101"/>
      <c r="E20" s="1102">
        <f t="shared" si="0"/>
        <v>0</v>
      </c>
      <c r="F20" s="1103">
        <f t="shared" si="1"/>
        <v>0</v>
      </c>
      <c r="G20" s="1104">
        <f t="shared" si="4"/>
        <v>0</v>
      </c>
      <c r="H20" s="1104">
        <f t="shared" si="5"/>
        <v>0</v>
      </c>
      <c r="I20" s="1105"/>
      <c r="J20" s="1106">
        <f t="shared" si="3"/>
        <v>0</v>
      </c>
    </row>
    <row r="21" spans="1:10" x14ac:dyDescent="0.35">
      <c r="A21" s="1100"/>
      <c r="B21" s="1100"/>
      <c r="C21" s="729"/>
      <c r="D21" s="1101"/>
      <c r="E21" s="1102">
        <f t="shared" si="0"/>
        <v>0</v>
      </c>
      <c r="F21" s="1103">
        <f t="shared" si="1"/>
        <v>0</v>
      </c>
      <c r="G21" s="1104">
        <f t="shared" si="4"/>
        <v>0</v>
      </c>
      <c r="H21" s="1104">
        <f t="shared" si="5"/>
        <v>0</v>
      </c>
      <c r="I21" s="1105"/>
      <c r="J21" s="1106">
        <f t="shared" si="3"/>
        <v>0</v>
      </c>
    </row>
    <row r="22" spans="1:10" x14ac:dyDescent="0.35">
      <c r="A22" s="1100"/>
      <c r="B22" s="1100"/>
      <c r="C22" s="729"/>
      <c r="D22" s="1101"/>
      <c r="E22" s="1102">
        <f t="shared" si="0"/>
        <v>0</v>
      </c>
      <c r="F22" s="1103">
        <f t="shared" si="1"/>
        <v>0</v>
      </c>
      <c r="G22" s="1104">
        <f t="shared" si="4"/>
        <v>0</v>
      </c>
      <c r="H22" s="1104">
        <f t="shared" si="5"/>
        <v>0</v>
      </c>
      <c r="I22" s="1105"/>
      <c r="J22" s="1106">
        <f t="shared" si="3"/>
        <v>0</v>
      </c>
    </row>
    <row r="23" spans="1:10" x14ac:dyDescent="0.35">
      <c r="A23" s="1100"/>
      <c r="B23" s="1100"/>
      <c r="C23" s="729"/>
      <c r="D23" s="1101"/>
      <c r="E23" s="1102">
        <f t="shared" si="0"/>
        <v>0</v>
      </c>
      <c r="F23" s="1103">
        <f t="shared" si="1"/>
        <v>0</v>
      </c>
      <c r="G23" s="1104">
        <f t="shared" si="4"/>
        <v>0</v>
      </c>
      <c r="H23" s="1104">
        <f t="shared" si="5"/>
        <v>0</v>
      </c>
      <c r="I23" s="1105"/>
      <c r="J23" s="1106">
        <f t="shared" si="3"/>
        <v>0</v>
      </c>
    </row>
    <row r="24" spans="1:10" x14ac:dyDescent="0.35">
      <c r="A24" s="1100"/>
      <c r="B24" s="1100"/>
      <c r="C24" s="729"/>
      <c r="D24" s="1101"/>
      <c r="E24" s="1102">
        <f t="shared" si="0"/>
        <v>0</v>
      </c>
      <c r="F24" s="1103">
        <f t="shared" si="1"/>
        <v>0</v>
      </c>
      <c r="G24" s="1104">
        <f t="shared" si="4"/>
        <v>0</v>
      </c>
      <c r="H24" s="1104">
        <f t="shared" si="5"/>
        <v>0</v>
      </c>
      <c r="I24" s="1105"/>
      <c r="J24" s="1106">
        <f t="shared" si="3"/>
        <v>0</v>
      </c>
    </row>
    <row r="25" spans="1:10" x14ac:dyDescent="0.35">
      <c r="A25" s="1100"/>
      <c r="B25" s="1100"/>
      <c r="C25" s="729"/>
      <c r="D25" s="1101"/>
      <c r="E25" s="1102">
        <f t="shared" si="0"/>
        <v>0</v>
      </c>
      <c r="F25" s="1103">
        <f t="shared" si="1"/>
        <v>0</v>
      </c>
      <c r="G25" s="1104">
        <f t="shared" si="4"/>
        <v>0</v>
      </c>
      <c r="H25" s="1104">
        <f t="shared" si="5"/>
        <v>0</v>
      </c>
      <c r="I25" s="1105"/>
      <c r="J25" s="1106">
        <f t="shared" si="3"/>
        <v>0</v>
      </c>
    </row>
    <row r="26" spans="1:10" x14ac:dyDescent="0.35">
      <c r="A26" s="1100"/>
      <c r="B26" s="1100"/>
      <c r="C26" s="729"/>
      <c r="D26" s="1101"/>
      <c r="E26" s="1102">
        <f t="shared" si="0"/>
        <v>0</v>
      </c>
      <c r="F26" s="1103">
        <f t="shared" si="1"/>
        <v>0</v>
      </c>
      <c r="G26" s="1104">
        <f t="shared" si="4"/>
        <v>0</v>
      </c>
      <c r="H26" s="1104">
        <f t="shared" si="5"/>
        <v>0</v>
      </c>
      <c r="I26" s="1105"/>
      <c r="J26" s="1106">
        <f t="shared" si="3"/>
        <v>0</v>
      </c>
    </row>
    <row r="27" spans="1:10" x14ac:dyDescent="0.35">
      <c r="A27" s="1100"/>
      <c r="B27" s="1100"/>
      <c r="C27" s="729"/>
      <c r="D27" s="1101"/>
      <c r="E27" s="1102">
        <f t="shared" si="0"/>
        <v>0</v>
      </c>
      <c r="F27" s="1103">
        <f t="shared" si="1"/>
        <v>0</v>
      </c>
      <c r="G27" s="1104">
        <f t="shared" si="4"/>
        <v>0</v>
      </c>
      <c r="H27" s="1104">
        <f t="shared" si="5"/>
        <v>0</v>
      </c>
      <c r="I27" s="1105"/>
      <c r="J27" s="1106">
        <f t="shared" si="3"/>
        <v>0</v>
      </c>
    </row>
    <row r="28" spans="1:10" x14ac:dyDescent="0.35">
      <c r="A28" s="1100"/>
      <c r="B28" s="1100"/>
      <c r="C28" s="729"/>
      <c r="D28" s="1101"/>
      <c r="E28" s="1102">
        <f t="shared" si="0"/>
        <v>0</v>
      </c>
      <c r="F28" s="1103">
        <f t="shared" si="1"/>
        <v>0</v>
      </c>
      <c r="G28" s="1104">
        <f t="shared" si="4"/>
        <v>0</v>
      </c>
      <c r="H28" s="1104">
        <f t="shared" si="5"/>
        <v>0</v>
      </c>
      <c r="I28" s="1105"/>
      <c r="J28" s="1106">
        <f t="shared" si="3"/>
        <v>0</v>
      </c>
    </row>
    <row r="29" spans="1:10" x14ac:dyDescent="0.35">
      <c r="A29" s="1100"/>
      <c r="B29" s="1100"/>
      <c r="C29" s="729"/>
      <c r="D29" s="1101"/>
      <c r="E29" s="1102">
        <f t="shared" si="0"/>
        <v>0</v>
      </c>
      <c r="F29" s="1103">
        <f t="shared" si="1"/>
        <v>0</v>
      </c>
      <c r="G29" s="1104">
        <f t="shared" si="4"/>
        <v>0</v>
      </c>
      <c r="H29" s="1104">
        <f t="shared" si="5"/>
        <v>0</v>
      </c>
      <c r="I29" s="1105"/>
      <c r="J29" s="1106">
        <f t="shared" si="3"/>
        <v>0</v>
      </c>
    </row>
    <row r="30" spans="1:10" x14ac:dyDescent="0.35">
      <c r="A30" s="1100"/>
      <c r="B30" s="1100"/>
      <c r="C30" s="729"/>
      <c r="D30" s="1101"/>
      <c r="E30" s="1102">
        <f t="shared" si="0"/>
        <v>0</v>
      </c>
      <c r="F30" s="1103">
        <f t="shared" si="1"/>
        <v>0</v>
      </c>
      <c r="G30" s="1104">
        <f t="shared" si="4"/>
        <v>0</v>
      </c>
      <c r="H30" s="1104">
        <f t="shared" si="5"/>
        <v>0</v>
      </c>
      <c r="I30" s="1105"/>
      <c r="J30" s="1106">
        <f t="shared" si="3"/>
        <v>0</v>
      </c>
    </row>
    <row r="31" spans="1:10" x14ac:dyDescent="0.35">
      <c r="A31" s="1100"/>
      <c r="B31" s="1100"/>
      <c r="C31" s="729"/>
      <c r="D31" s="1101"/>
      <c r="E31" s="1102">
        <f t="shared" si="0"/>
        <v>0</v>
      </c>
      <c r="F31" s="1103">
        <f t="shared" si="1"/>
        <v>0</v>
      </c>
      <c r="G31" s="1104">
        <f t="shared" si="4"/>
        <v>0</v>
      </c>
      <c r="H31" s="1104">
        <f t="shared" si="5"/>
        <v>0</v>
      </c>
      <c r="I31" s="1105"/>
      <c r="J31" s="1106">
        <f t="shared" si="3"/>
        <v>0</v>
      </c>
    </row>
    <row r="32" spans="1:10" x14ac:dyDescent="0.35">
      <c r="A32" s="1100"/>
      <c r="B32" s="1100"/>
      <c r="C32" s="729"/>
      <c r="D32" s="1101"/>
      <c r="E32" s="1102">
        <f t="shared" si="0"/>
        <v>0</v>
      </c>
      <c r="F32" s="1103">
        <f t="shared" si="1"/>
        <v>0</v>
      </c>
      <c r="G32" s="1104">
        <f t="shared" si="4"/>
        <v>0</v>
      </c>
      <c r="H32" s="1104">
        <f t="shared" si="5"/>
        <v>0</v>
      </c>
      <c r="I32" s="1105"/>
      <c r="J32" s="1106">
        <f t="shared" si="3"/>
        <v>0</v>
      </c>
    </row>
    <row r="33" spans="1:25" ht="16" thickBot="1" x14ac:dyDescent="0.4">
      <c r="A33" s="1100"/>
      <c r="B33" s="1100"/>
      <c r="C33" s="729"/>
      <c r="D33" s="1101"/>
      <c r="E33" s="1102">
        <f t="shared" si="0"/>
        <v>0</v>
      </c>
      <c r="F33" s="1103">
        <f t="shared" si="1"/>
        <v>0</v>
      </c>
      <c r="G33" s="1104">
        <f t="shared" si="4"/>
        <v>0</v>
      </c>
      <c r="H33" s="1104">
        <f t="shared" si="5"/>
        <v>0</v>
      </c>
      <c r="I33" s="1105"/>
      <c r="J33" s="1107">
        <f t="shared" si="3"/>
        <v>0</v>
      </c>
    </row>
    <row r="35" spans="1:25" s="1108" customFormat="1" ht="23.5" x14ac:dyDescent="0.55000000000000004">
      <c r="A35" s="1602" t="s">
        <v>1028</v>
      </c>
      <c r="B35" s="1602"/>
      <c r="C35" s="1602"/>
      <c r="D35" s="1602"/>
      <c r="E35" s="1602"/>
      <c r="F35" s="1602"/>
      <c r="G35" s="1602"/>
      <c r="H35" s="1602"/>
      <c r="I35" s="1602"/>
      <c r="J35" s="1602"/>
      <c r="K35" s="1602"/>
      <c r="L35" s="1602"/>
      <c r="M35" s="1602"/>
      <c r="N35" s="1092"/>
      <c r="O35" s="1092"/>
      <c r="P35" s="1092"/>
      <c r="Q35" s="1092"/>
      <c r="R35" s="1092"/>
      <c r="S35" s="1092"/>
      <c r="T35" s="1092"/>
      <c r="U35" s="1092"/>
      <c r="V35" s="1092"/>
      <c r="W35" s="1092"/>
      <c r="X35" s="1092"/>
      <c r="Y35" s="1092"/>
    </row>
    <row r="36" spans="1:25" ht="46.5" x14ac:dyDescent="0.35">
      <c r="A36" s="263" t="s">
        <v>1029</v>
      </c>
      <c r="B36" s="263" t="s">
        <v>1030</v>
      </c>
      <c r="C36" s="263" t="s">
        <v>1031</v>
      </c>
      <c r="D36" s="263" t="s">
        <v>1020</v>
      </c>
      <c r="E36" s="263" t="s">
        <v>1021</v>
      </c>
      <c r="F36" s="263" t="s">
        <v>1032</v>
      </c>
      <c r="G36" s="263" t="s">
        <v>1033</v>
      </c>
      <c r="H36" s="263" t="s">
        <v>1024</v>
      </c>
      <c r="I36" s="263" t="s">
        <v>1034</v>
      </c>
      <c r="J36" s="263" t="s">
        <v>1035</v>
      </c>
      <c r="K36" s="264" t="s">
        <v>1036</v>
      </c>
      <c r="L36" s="265" t="s">
        <v>1037</v>
      </c>
      <c r="M36" s="263" t="s">
        <v>1038</v>
      </c>
      <c r="R36" s="1603" t="s">
        <v>1039</v>
      </c>
      <c r="S36" s="1604"/>
      <c r="T36" s="1605"/>
    </row>
    <row r="37" spans="1:25" x14ac:dyDescent="0.35">
      <c r="A37" s="261" t="s">
        <v>1040</v>
      </c>
      <c r="B37" s="1109">
        <v>0</v>
      </c>
      <c r="C37" s="1110">
        <v>1</v>
      </c>
      <c r="D37" s="1111">
        <v>1</v>
      </c>
      <c r="E37" s="1112">
        <v>0.5</v>
      </c>
      <c r="F37" s="1113">
        <v>0.5</v>
      </c>
      <c r="G37" s="1114">
        <f>B37*C37</f>
        <v>0</v>
      </c>
      <c r="H37" s="1115">
        <f>G37*0.25</f>
        <v>0</v>
      </c>
      <c r="I37" s="1116">
        <f>H37*3.67</f>
        <v>0</v>
      </c>
      <c r="J37" s="1116">
        <f>I37*0.907</f>
        <v>0</v>
      </c>
      <c r="K37" s="1117"/>
      <c r="L37" s="1118">
        <f>IFERROR((VLOOKUP(E37,$R$41:$T$43, 2, TRUE)-1),0)</f>
        <v>0</v>
      </c>
      <c r="M37" s="1119">
        <f>(VLOOKUP(E37,$S$41:$T$43, 2,TRUE))*J37*D37</f>
        <v>0</v>
      </c>
      <c r="R37" s="1606"/>
      <c r="S37" s="1607"/>
      <c r="T37" s="1120" t="s">
        <v>1041</v>
      </c>
    </row>
    <row r="38" spans="1:25" x14ac:dyDescent="0.35">
      <c r="A38" s="261" t="s">
        <v>1042</v>
      </c>
      <c r="B38" s="1109">
        <v>14000</v>
      </c>
      <c r="C38" s="1110">
        <v>2</v>
      </c>
      <c r="D38" s="1111">
        <v>1</v>
      </c>
      <c r="E38" s="1112">
        <v>0.5</v>
      </c>
      <c r="F38" s="1113">
        <v>0.5</v>
      </c>
      <c r="G38" s="1114">
        <f>B38*C38</f>
        <v>28000</v>
      </c>
      <c r="H38" s="1115">
        <f>G38*0.25</f>
        <v>7000</v>
      </c>
      <c r="I38" s="1116">
        <f>H38*3.67</f>
        <v>25690</v>
      </c>
      <c r="J38" s="1116">
        <f t="shared" ref="J38:J41" si="6">I38*0.907</f>
        <v>23300.83</v>
      </c>
      <c r="K38" s="1117"/>
      <c r="L38" s="1118">
        <f t="shared" ref="L38:L41" si="7">IFERROR((VLOOKUP(E38,$R$41:$T$43, 2, TRUE)-1),0)</f>
        <v>0</v>
      </c>
      <c r="M38" s="1119">
        <f t="shared" ref="M38:M41" si="8">(VLOOKUP(E38,$S$41:$T$43, 2,TRUE))*J38*D38</f>
        <v>17475.622500000001</v>
      </c>
      <c r="O38" s="1121">
        <f>G38*37.5</f>
        <v>1050000</v>
      </c>
      <c r="R38" s="1608"/>
      <c r="S38" s="1609"/>
      <c r="T38" s="1120" t="s">
        <v>1043</v>
      </c>
    </row>
    <row r="39" spans="1:25" x14ac:dyDescent="0.35">
      <c r="A39" s="261" t="s">
        <v>1044</v>
      </c>
      <c r="B39" s="1109">
        <v>0</v>
      </c>
      <c r="C39" s="1110">
        <v>3.5</v>
      </c>
      <c r="D39" s="1111">
        <v>1</v>
      </c>
      <c r="E39" s="1112">
        <v>0.5</v>
      </c>
      <c r="F39" s="1113">
        <v>0.5</v>
      </c>
      <c r="G39" s="1114">
        <f>B39*C39</f>
        <v>0</v>
      </c>
      <c r="H39" s="1115">
        <f>G39*0.25</f>
        <v>0</v>
      </c>
      <c r="I39" s="1116">
        <f>H39*3.67</f>
        <v>0</v>
      </c>
      <c r="J39" s="1116">
        <f t="shared" si="6"/>
        <v>0</v>
      </c>
      <c r="K39" s="1117"/>
      <c r="L39" s="1118">
        <f t="shared" si="7"/>
        <v>0</v>
      </c>
      <c r="M39" s="1119">
        <f t="shared" si="8"/>
        <v>0</v>
      </c>
      <c r="O39" s="1121">
        <f t="shared" ref="O39" si="9">G39*26*2</f>
        <v>0</v>
      </c>
    </row>
    <row r="40" spans="1:25" x14ac:dyDescent="0.35">
      <c r="A40" s="261" t="s">
        <v>1045</v>
      </c>
      <c r="B40" s="1109">
        <v>8000</v>
      </c>
      <c r="C40" s="1110">
        <v>5</v>
      </c>
      <c r="D40" s="1111">
        <v>1</v>
      </c>
      <c r="E40" s="1112">
        <v>0.5</v>
      </c>
      <c r="F40" s="1113">
        <v>0.5</v>
      </c>
      <c r="G40" s="1114">
        <f>B40*C40</f>
        <v>40000</v>
      </c>
      <c r="H40" s="1115">
        <f>G40*0.25</f>
        <v>10000</v>
      </c>
      <c r="I40" s="1116">
        <f>H40*3.67</f>
        <v>36700</v>
      </c>
      <c r="J40" s="1116">
        <f t="shared" si="6"/>
        <v>33286.9</v>
      </c>
      <c r="K40" s="1117"/>
      <c r="L40" s="1118">
        <f t="shared" si="7"/>
        <v>0</v>
      </c>
      <c r="M40" s="1119">
        <f t="shared" si="8"/>
        <v>24965.175000000003</v>
      </c>
      <c r="O40" s="1121">
        <f>G40*26*5</f>
        <v>5200000</v>
      </c>
      <c r="R40" s="1596" t="s">
        <v>1046</v>
      </c>
      <c r="S40" s="1597"/>
      <c r="T40" s="1598"/>
    </row>
    <row r="41" spans="1:25" x14ac:dyDescent="0.35">
      <c r="A41" s="261" t="s">
        <v>1047</v>
      </c>
      <c r="B41" s="1109">
        <v>0</v>
      </c>
      <c r="C41" s="1110">
        <v>10</v>
      </c>
      <c r="D41" s="1111">
        <v>1</v>
      </c>
      <c r="E41" s="1112">
        <v>0.5</v>
      </c>
      <c r="F41" s="1113">
        <v>0.5</v>
      </c>
      <c r="G41" s="1114">
        <f>B41*C41</f>
        <v>0</v>
      </c>
      <c r="H41" s="1115">
        <f>G41*0.25</f>
        <v>0</v>
      </c>
      <c r="I41" s="1116">
        <f>H41*3.67</f>
        <v>0</v>
      </c>
      <c r="J41" s="1116">
        <f t="shared" si="6"/>
        <v>0</v>
      </c>
      <c r="K41" s="1117"/>
      <c r="L41" s="1118">
        <f t="shared" si="7"/>
        <v>0</v>
      </c>
      <c r="M41" s="1119">
        <f t="shared" si="8"/>
        <v>0</v>
      </c>
      <c r="R41" s="1120" t="s">
        <v>1048</v>
      </c>
      <c r="S41" s="1120">
        <v>0</v>
      </c>
      <c r="T41" s="1120">
        <v>1</v>
      </c>
      <c r="U41" s="24" t="s">
        <v>1049</v>
      </c>
    </row>
    <row r="42" spans="1:25" x14ac:dyDescent="0.35">
      <c r="A42" s="1122"/>
      <c r="B42" s="1122"/>
      <c r="C42" s="1122"/>
      <c r="D42" s="1122"/>
      <c r="E42" s="1122"/>
      <c r="F42" s="1122"/>
      <c r="G42" s="1122"/>
      <c r="H42" s="1122"/>
      <c r="I42" s="1123"/>
      <c r="J42" s="1123"/>
      <c r="K42" s="1123"/>
      <c r="L42" s="1124"/>
      <c r="M42" s="1125">
        <f>SUM(M37:M41)</f>
        <v>42440.797500000001</v>
      </c>
      <c r="N42" s="12" t="s">
        <v>1050</v>
      </c>
      <c r="R42" s="1120" t="s">
        <v>1051</v>
      </c>
      <c r="S42" s="1120">
        <v>0.5</v>
      </c>
      <c r="T42" s="1120">
        <v>0.75</v>
      </c>
      <c r="U42" s="24" t="s">
        <v>1052</v>
      </c>
    </row>
    <row r="43" spans="1:25" x14ac:dyDescent="0.35">
      <c r="I43" s="1121"/>
      <c r="J43" s="1121"/>
      <c r="K43" s="1121"/>
      <c r="L43" s="1121"/>
      <c r="M43" s="1121"/>
      <c r="R43" s="1120" t="s">
        <v>1053</v>
      </c>
      <c r="S43" s="1120">
        <v>1</v>
      </c>
      <c r="T43" s="1120">
        <v>0.5</v>
      </c>
      <c r="U43" s="24" t="s">
        <v>1054</v>
      </c>
    </row>
  </sheetData>
  <sheetProtection algorithmName="SHA-512" hashValue="K6Ml/nHDVxBhiiZ+qIypw/E8Wu3F6JpN5tZkeE5B4MPpwGnWM7EOmQcSB+kVvYyLV0c2/czXWNLs0BKwCxpykw==" saltValue="42qLL/90yfJ+Z0fp90AdIA==" spinCount="100000" sheet="1"/>
  <mergeCells count="8">
    <mergeCell ref="R40:T40"/>
    <mergeCell ref="I1:N1"/>
    <mergeCell ref="A35:M35"/>
    <mergeCell ref="R36:T36"/>
    <mergeCell ref="R37:S37"/>
    <mergeCell ref="R38:S38"/>
    <mergeCell ref="D7:E7"/>
    <mergeCell ref="B1:E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D689-C5D5-4902-89B7-0F331630B897}">
  <sheetPr>
    <tabColor theme="9" tint="0.79998168889431442"/>
  </sheetPr>
  <dimension ref="A1:AN1"/>
  <sheetViews>
    <sheetView workbookViewId="0">
      <selection activeCell="Q65" sqref="Q64:Q65"/>
    </sheetView>
  </sheetViews>
  <sheetFormatPr baseColWidth="10" defaultColWidth="8.7265625" defaultRowHeight="14.5" x14ac:dyDescent="0.35"/>
  <cols>
    <col min="1" max="40" width="9.1796875" style="7"/>
  </cols>
  <sheetData/>
  <sheetProtection algorithmName="SHA-512" hashValue="xbHpHKMlY7+xnv32/89q29m4P6G+l6dfC2dp4UbsPIKVOb1q+qqlE/BVsSgk5LL82nqOL7+RCQUlSSpHFqMULQ==" saltValue="bl2i3mYI0OrVRhDqicblnA==" spinCount="100000"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6ED1-AEE9-432C-B49C-F68B74FF59F9}">
  <sheetPr>
    <tabColor theme="9" tint="0.59999389629810485"/>
  </sheetPr>
  <dimension ref="A2:Y1210"/>
  <sheetViews>
    <sheetView tabSelected="1" topLeftCell="A188" zoomScale="90" zoomScaleNormal="90" workbookViewId="0">
      <selection activeCell="A175" sqref="A175:XFD175"/>
    </sheetView>
  </sheetViews>
  <sheetFormatPr baseColWidth="10" defaultColWidth="8.7265625" defaultRowHeight="14.5" x14ac:dyDescent="0.35"/>
  <cols>
    <col min="1" max="1" width="35" customWidth="1"/>
    <col min="2" max="2" width="38.81640625" customWidth="1"/>
    <col min="3" max="3" width="32.7265625" customWidth="1"/>
    <col min="4" max="4" width="22.54296875" customWidth="1"/>
    <col min="5" max="5" width="26.7265625" customWidth="1"/>
    <col min="6" max="6" width="23.1796875" customWidth="1"/>
    <col min="7" max="7" width="15.453125" customWidth="1"/>
    <col min="10" max="10" width="20.81640625" customWidth="1"/>
    <col min="11" max="11" width="20.1796875" bestFit="1" customWidth="1"/>
  </cols>
  <sheetData>
    <row r="2" spans="1:17" ht="23.5" x14ac:dyDescent="0.55000000000000004">
      <c r="A2" s="1651" t="s">
        <v>1055</v>
      </c>
      <c r="B2" s="1652"/>
      <c r="C2" s="1652"/>
      <c r="D2" s="1652"/>
      <c r="E2" s="1652"/>
      <c r="F2" s="1652"/>
      <c r="G2" s="1652"/>
      <c r="H2" s="1652"/>
      <c r="I2" s="1652"/>
      <c r="J2" s="1652"/>
      <c r="K2" s="1652"/>
      <c r="L2" s="1652"/>
      <c r="M2" s="1652"/>
      <c r="N2" s="1652"/>
      <c r="O2" s="1652"/>
      <c r="P2" s="1652"/>
      <c r="Q2" s="1653"/>
    </row>
    <row r="3" spans="1:17" ht="15" thickBot="1" x14ac:dyDescent="0.4"/>
    <row r="4" spans="1:17" ht="27" thickBot="1" x14ac:dyDescent="0.4">
      <c r="A4" s="498" t="s">
        <v>1616</v>
      </c>
      <c r="B4" s="499" t="s">
        <v>1617</v>
      </c>
      <c r="C4" s="500" t="s">
        <v>1618</v>
      </c>
    </row>
    <row r="5" spans="1:17" x14ac:dyDescent="0.35">
      <c r="A5" s="501" t="s">
        <v>454</v>
      </c>
      <c r="B5" s="502" t="s">
        <v>72</v>
      </c>
      <c r="C5" s="503">
        <v>1</v>
      </c>
    </row>
    <row r="6" spans="1:17" x14ac:dyDescent="0.35">
      <c r="A6" s="504" t="s">
        <v>455</v>
      </c>
      <c r="B6" s="505" t="s">
        <v>1619</v>
      </c>
      <c r="C6" s="506">
        <v>28</v>
      </c>
    </row>
    <row r="7" spans="1:17" x14ac:dyDescent="0.35">
      <c r="A7" s="504" t="s">
        <v>1620</v>
      </c>
      <c r="B7" s="507" t="s">
        <v>1621</v>
      </c>
      <c r="C7" s="506">
        <v>265</v>
      </c>
    </row>
    <row r="9" spans="1:17" x14ac:dyDescent="0.35">
      <c r="A9" s="208" t="s">
        <v>1056</v>
      </c>
    </row>
    <row r="10" spans="1:17" x14ac:dyDescent="0.35">
      <c r="A10" s="4" t="s">
        <v>1057</v>
      </c>
    </row>
    <row r="11" spans="1:17" ht="31" x14ac:dyDescent="0.7">
      <c r="A11" s="1684" t="s">
        <v>1814</v>
      </c>
      <c r="B11" s="1685"/>
      <c r="C11" s="1685"/>
      <c r="D11" s="1685"/>
      <c r="E11" s="1685"/>
      <c r="F11" s="1685"/>
      <c r="G11" s="1685"/>
      <c r="H11" s="1685"/>
      <c r="I11" s="1685"/>
      <c r="J11" s="1685"/>
      <c r="K11" s="1685"/>
      <c r="L11" s="1685"/>
      <c r="M11" s="1685"/>
      <c r="N11" s="1685"/>
      <c r="O11" s="1685"/>
      <c r="P11" s="1685"/>
      <c r="Q11" s="1686"/>
    </row>
    <row r="12" spans="1:17" ht="15" thickBot="1" x14ac:dyDescent="0.4"/>
    <row r="13" spans="1:17" x14ac:dyDescent="0.35">
      <c r="A13" s="590" t="s">
        <v>1816</v>
      </c>
      <c r="B13" s="590" t="s">
        <v>1822</v>
      </c>
    </row>
    <row r="14" spans="1:17" x14ac:dyDescent="0.35">
      <c r="A14" s="533" t="s">
        <v>1815</v>
      </c>
      <c r="B14" s="591" t="s">
        <v>1817</v>
      </c>
      <c r="C14" s="6" t="s">
        <v>1818</v>
      </c>
    </row>
    <row r="15" spans="1:17" x14ac:dyDescent="0.35">
      <c r="A15" s="533" t="s">
        <v>1819</v>
      </c>
      <c r="B15" s="591" t="s">
        <v>1820</v>
      </c>
      <c r="C15" s="6" t="s">
        <v>1821</v>
      </c>
    </row>
    <row r="16" spans="1:17" x14ac:dyDescent="0.35">
      <c r="A16" s="4"/>
    </row>
    <row r="17" spans="1:17" ht="23.5" x14ac:dyDescent="0.55000000000000004">
      <c r="A17" s="1651" t="s">
        <v>40</v>
      </c>
      <c r="B17" s="1652"/>
      <c r="C17" s="1652"/>
      <c r="D17" s="1652"/>
      <c r="E17" s="1652"/>
      <c r="F17" s="1652"/>
      <c r="G17" s="1652"/>
      <c r="H17" s="1652"/>
      <c r="I17" s="1652"/>
      <c r="J17" s="1652"/>
      <c r="K17" s="1652"/>
      <c r="L17" s="1652"/>
      <c r="M17" s="1652"/>
      <c r="N17" s="1652"/>
      <c r="O17" s="1652"/>
      <c r="P17" s="1652"/>
      <c r="Q17" s="1653"/>
    </row>
    <row r="18" spans="1:17" ht="15" thickBot="1" x14ac:dyDescent="0.4">
      <c r="A18" s="508" t="s">
        <v>1622</v>
      </c>
    </row>
    <row r="19" spans="1:17" x14ac:dyDescent="0.35">
      <c r="A19" s="1681" t="s">
        <v>1058</v>
      </c>
      <c r="B19" s="511" t="s">
        <v>1623</v>
      </c>
      <c r="C19" s="511" t="s">
        <v>1624</v>
      </c>
      <c r="D19" s="511" t="s">
        <v>1624</v>
      </c>
      <c r="E19" s="511" t="s">
        <v>1624</v>
      </c>
      <c r="F19" s="511" t="s">
        <v>1624</v>
      </c>
    </row>
    <row r="20" spans="1:17" ht="16.5" x14ac:dyDescent="0.35">
      <c r="A20" s="1682"/>
      <c r="B20" s="512" t="s">
        <v>1625</v>
      </c>
      <c r="C20" s="512" t="s">
        <v>1626</v>
      </c>
      <c r="D20" s="512" t="s">
        <v>1626</v>
      </c>
      <c r="E20" s="512" t="s">
        <v>1626</v>
      </c>
      <c r="F20" s="512" t="s">
        <v>1626</v>
      </c>
    </row>
    <row r="21" spans="1:17" ht="17" thickBot="1" x14ac:dyDescent="0.4">
      <c r="A21" s="1683"/>
      <c r="B21" s="513"/>
      <c r="C21" s="514" t="s">
        <v>1627</v>
      </c>
      <c r="D21" s="514" t="s">
        <v>1628</v>
      </c>
      <c r="E21" s="514" t="s">
        <v>1629</v>
      </c>
      <c r="F21" s="514" t="s">
        <v>1630</v>
      </c>
    </row>
    <row r="22" spans="1:17" ht="15" thickBot="1" x14ac:dyDescent="0.4">
      <c r="A22" s="509" t="s">
        <v>1066</v>
      </c>
      <c r="B22" s="510">
        <v>3.9300000000000002E-2</v>
      </c>
      <c r="C22" s="510">
        <v>51.4</v>
      </c>
      <c r="D22" s="510">
        <v>0.1</v>
      </c>
      <c r="E22" s="510">
        <v>0.03</v>
      </c>
      <c r="F22" s="510">
        <v>51.53</v>
      </c>
    </row>
    <row r="23" spans="1:17" ht="29.5" thickBot="1" x14ac:dyDescent="0.4">
      <c r="A23" s="509" t="s">
        <v>1067</v>
      </c>
      <c r="B23" s="510">
        <v>3.7699999999999997E-2</v>
      </c>
      <c r="C23" s="510">
        <v>51.4</v>
      </c>
      <c r="D23" s="510">
        <v>0.2</v>
      </c>
      <c r="E23" s="510">
        <v>0.03</v>
      </c>
      <c r="F23" s="510">
        <v>51.63</v>
      </c>
    </row>
    <row r="24" spans="1:17" ht="29.5" thickBot="1" x14ac:dyDescent="0.4">
      <c r="A24" s="509" t="s">
        <v>1068</v>
      </c>
      <c r="B24" s="510">
        <v>3.7699999999999997E-2</v>
      </c>
      <c r="C24" s="510">
        <v>51.9</v>
      </c>
      <c r="D24" s="510">
        <v>4.5999999999999996</v>
      </c>
      <c r="E24" s="510">
        <v>0.3</v>
      </c>
      <c r="F24" s="510">
        <v>56.8</v>
      </c>
    </row>
    <row r="25" spans="1:17" ht="29.5" thickBot="1" x14ac:dyDescent="0.4">
      <c r="A25" s="509" t="s">
        <v>1069</v>
      </c>
      <c r="B25" s="510">
        <v>3.9300000000000002E-2</v>
      </c>
      <c r="C25" s="510">
        <v>51.4</v>
      </c>
      <c r="D25" s="510">
        <v>0.1</v>
      </c>
      <c r="E25" s="510">
        <v>0.03</v>
      </c>
      <c r="F25" s="510">
        <v>51.53</v>
      </c>
    </row>
    <row r="26" spans="1:17" ht="15" thickBot="1" x14ac:dyDescent="0.4">
      <c r="A26" s="509" t="s">
        <v>1070</v>
      </c>
      <c r="B26" s="510">
        <v>3.9300000000000002E-2</v>
      </c>
      <c r="C26" s="510">
        <v>51.4</v>
      </c>
      <c r="D26" s="510">
        <v>0.1</v>
      </c>
      <c r="E26" s="510">
        <v>0.03</v>
      </c>
      <c r="F26" s="510">
        <v>51.53</v>
      </c>
    </row>
    <row r="27" spans="1:17" ht="15" thickBot="1" x14ac:dyDescent="0.4">
      <c r="A27" s="509" t="s">
        <v>1631</v>
      </c>
      <c r="B27" s="510">
        <v>6.2899999999999998E-2</v>
      </c>
      <c r="C27" s="510">
        <v>56.5</v>
      </c>
      <c r="D27" s="510">
        <v>0.03</v>
      </c>
      <c r="E27" s="510">
        <v>0.03</v>
      </c>
      <c r="F27" s="510">
        <v>56.56</v>
      </c>
    </row>
    <row r="28" spans="1:17" ht="15" thickBot="1" x14ac:dyDescent="0.4">
      <c r="A28" s="509" t="s">
        <v>1071</v>
      </c>
      <c r="B28" s="510">
        <v>1.8100000000000002E-2</v>
      </c>
      <c r="C28" s="510">
        <v>37</v>
      </c>
      <c r="D28" s="510">
        <v>0.03</v>
      </c>
      <c r="E28" s="510">
        <v>0.05</v>
      </c>
      <c r="F28" s="510">
        <v>37.08</v>
      </c>
    </row>
    <row r="29" spans="1:17" ht="15" thickBot="1" x14ac:dyDescent="0.4">
      <c r="A29" s="509" t="s">
        <v>1072</v>
      </c>
      <c r="B29" s="510">
        <v>4.0000000000000001E-3</v>
      </c>
      <c r="C29" s="510">
        <v>234</v>
      </c>
      <c r="D29" s="510">
        <v>0.03</v>
      </c>
      <c r="E29" s="510">
        <v>0.02</v>
      </c>
      <c r="F29" s="510">
        <v>234.05</v>
      </c>
    </row>
    <row r="30" spans="1:17" ht="15" thickBot="1" x14ac:dyDescent="0.4">
      <c r="A30" s="509" t="s">
        <v>1632</v>
      </c>
      <c r="B30" s="510">
        <v>3.9E-2</v>
      </c>
      <c r="C30" s="510">
        <v>60.2</v>
      </c>
      <c r="D30" s="510">
        <v>0.04</v>
      </c>
      <c r="E30" s="510">
        <v>0.03</v>
      </c>
      <c r="F30" s="510">
        <v>60.27</v>
      </c>
    </row>
    <row r="31" spans="1:17" ht="15" thickBot="1" x14ac:dyDescent="0.4">
      <c r="A31" s="509" t="s">
        <v>1073</v>
      </c>
      <c r="B31" s="510" t="s">
        <v>1074</v>
      </c>
      <c r="C31" s="510">
        <v>51.4</v>
      </c>
      <c r="D31" s="510">
        <v>0.1</v>
      </c>
      <c r="E31" s="510">
        <v>0.03</v>
      </c>
      <c r="F31" s="510">
        <v>51.53</v>
      </c>
    </row>
    <row r="32" spans="1:17" ht="29.5" thickBot="1" x14ac:dyDescent="0.4">
      <c r="A32" s="509" t="s">
        <v>1075</v>
      </c>
      <c r="B32" s="510">
        <v>3.9E-2</v>
      </c>
      <c r="C32" s="510">
        <v>51.4</v>
      </c>
      <c r="D32" s="510">
        <v>0.1</v>
      </c>
      <c r="E32" s="510">
        <v>0.03</v>
      </c>
      <c r="F32" s="510">
        <v>51.53</v>
      </c>
    </row>
    <row r="33" spans="1:6" ht="29.5" thickBot="1" x14ac:dyDescent="0.4">
      <c r="A33" s="509" t="s">
        <v>1076</v>
      </c>
      <c r="B33" s="510">
        <v>3.7699999999999997E-2</v>
      </c>
      <c r="C33" s="510">
        <v>0</v>
      </c>
      <c r="D33" s="510">
        <v>6.4</v>
      </c>
      <c r="E33" s="510">
        <v>0.03</v>
      </c>
      <c r="F33" s="510">
        <v>6.43</v>
      </c>
    </row>
    <row r="34" spans="1:6" ht="29.5" thickBot="1" x14ac:dyDescent="0.4">
      <c r="A34" s="509" t="s">
        <v>1077</v>
      </c>
      <c r="B34" s="510">
        <v>3.7699999999999997E-2</v>
      </c>
      <c r="C34" s="510">
        <v>0</v>
      </c>
      <c r="D34" s="510">
        <v>6.4</v>
      </c>
      <c r="E34" s="510">
        <v>0.03</v>
      </c>
      <c r="F34" s="510">
        <v>6.43</v>
      </c>
    </row>
    <row r="35" spans="1:6" ht="44" thickBot="1" x14ac:dyDescent="0.4">
      <c r="A35" s="509" t="s">
        <v>1633</v>
      </c>
      <c r="B35" s="510">
        <v>3.6999999999999998E-2</v>
      </c>
      <c r="C35" s="510">
        <v>0</v>
      </c>
      <c r="D35" s="510">
        <v>6.4</v>
      </c>
      <c r="E35" s="510">
        <v>0.03</v>
      </c>
      <c r="F35" s="510">
        <v>6.43</v>
      </c>
    </row>
    <row r="36" spans="1:6" ht="15" thickBot="1" x14ac:dyDescent="0.4">
      <c r="A36" s="509" t="s">
        <v>1634</v>
      </c>
      <c r="B36" s="510">
        <v>3.9300000000000002E-2</v>
      </c>
      <c r="C36" s="510">
        <v>0</v>
      </c>
      <c r="D36" s="510">
        <v>0.1</v>
      </c>
      <c r="E36" s="510">
        <v>0.03</v>
      </c>
      <c r="F36" s="510">
        <v>0.13</v>
      </c>
    </row>
    <row r="37" spans="1:6" x14ac:dyDescent="0.35">
      <c r="A37" s="245" t="s">
        <v>1078</v>
      </c>
      <c r="B37" s="275"/>
      <c r="C37" s="275"/>
    </row>
    <row r="38" spans="1:6" x14ac:dyDescent="0.35">
      <c r="A38" s="10"/>
    </row>
    <row r="39" spans="1:6" ht="15" thickBot="1" x14ac:dyDescent="0.4">
      <c r="A39" s="508" t="s">
        <v>1646</v>
      </c>
      <c r="E39" s="508" t="s">
        <v>1649</v>
      </c>
    </row>
    <row r="40" spans="1:6" ht="51" customHeight="1" thickBot="1" x14ac:dyDescent="0.4">
      <c r="A40" s="1681" t="s">
        <v>1079</v>
      </c>
      <c r="B40" s="511" t="s">
        <v>1647</v>
      </c>
      <c r="C40" s="511" t="s">
        <v>1647</v>
      </c>
      <c r="E40" s="517" t="s">
        <v>1650</v>
      </c>
      <c r="F40" s="518" t="s">
        <v>1651</v>
      </c>
    </row>
    <row r="41" spans="1:6" ht="15" thickBot="1" x14ac:dyDescent="0.4">
      <c r="A41" s="1683"/>
      <c r="B41" s="514" t="s">
        <v>1080</v>
      </c>
      <c r="C41" s="514" t="s">
        <v>1648</v>
      </c>
      <c r="E41" s="516" t="s">
        <v>1652</v>
      </c>
      <c r="F41" s="515">
        <v>23.7</v>
      </c>
    </row>
    <row r="42" spans="1:6" ht="15" thickBot="1" x14ac:dyDescent="0.4">
      <c r="A42" s="509" t="s">
        <v>1081</v>
      </c>
      <c r="B42" s="510">
        <v>13.1</v>
      </c>
      <c r="C42" s="510">
        <v>14</v>
      </c>
      <c r="E42" s="516" t="s">
        <v>582</v>
      </c>
      <c r="F42" s="515">
        <v>5.7</v>
      </c>
    </row>
    <row r="43" spans="1:6" ht="15" thickBot="1" x14ac:dyDescent="0.4">
      <c r="A43" s="509" t="s">
        <v>582</v>
      </c>
      <c r="B43" s="510">
        <v>4</v>
      </c>
      <c r="C43" s="510">
        <v>4</v>
      </c>
    </row>
    <row r="44" spans="1:6" ht="15" thickBot="1" x14ac:dyDescent="0.4">
      <c r="A44" s="509" t="s">
        <v>583</v>
      </c>
      <c r="B44" s="510">
        <v>8.8000000000000007</v>
      </c>
      <c r="C44" s="510">
        <v>7.9</v>
      </c>
    </row>
    <row r="45" spans="1:6" ht="15" thickBot="1" x14ac:dyDescent="0.4">
      <c r="A45" s="509" t="s">
        <v>584</v>
      </c>
      <c r="B45" s="510">
        <v>10.7</v>
      </c>
      <c r="C45" s="510">
        <v>10.6</v>
      </c>
    </row>
    <row r="46" spans="1:6" ht="15" thickBot="1" x14ac:dyDescent="0.4">
      <c r="A46" s="509" t="s">
        <v>1082</v>
      </c>
      <c r="B46" s="510">
        <v>4.0999999999999996</v>
      </c>
      <c r="C46" s="510">
        <v>4</v>
      </c>
    </row>
    <row r="47" spans="1:6" ht="15" thickBot="1" x14ac:dyDescent="0.4">
      <c r="A47" s="509" t="s">
        <v>588</v>
      </c>
      <c r="B47" s="510" t="s">
        <v>1372</v>
      </c>
      <c r="C47" s="510" t="s">
        <v>1372</v>
      </c>
    </row>
    <row r="48" spans="1:6" ht="15" thickBot="1" x14ac:dyDescent="0.4">
      <c r="A48" s="509" t="s">
        <v>589</v>
      </c>
      <c r="B48" s="510" t="s">
        <v>1372</v>
      </c>
      <c r="C48" s="510" t="s">
        <v>1372</v>
      </c>
    </row>
    <row r="49" spans="1:11" ht="15" thickBot="1" x14ac:dyDescent="0.4">
      <c r="A49" s="270" t="s">
        <v>589</v>
      </c>
      <c r="B49" s="271" t="s">
        <v>146</v>
      </c>
      <c r="C49" s="271" t="s">
        <v>146</v>
      </c>
    </row>
    <row r="50" spans="1:11" x14ac:dyDescent="0.35">
      <c r="A50" s="245" t="s">
        <v>1078</v>
      </c>
      <c r="B50" s="275"/>
      <c r="C50" s="275"/>
    </row>
    <row r="51" spans="1:11" x14ac:dyDescent="0.35">
      <c r="A51" s="10"/>
    </row>
    <row r="52" spans="1:11" ht="15" customHeight="1" thickBot="1" x14ac:dyDescent="0.4">
      <c r="A52" s="508" t="s">
        <v>1653</v>
      </c>
    </row>
    <row r="53" spans="1:11" ht="30" customHeight="1" x14ac:dyDescent="0.35">
      <c r="A53" s="1681" t="s">
        <v>1058</v>
      </c>
      <c r="B53" s="511" t="s">
        <v>1623</v>
      </c>
      <c r="C53" s="511" t="s">
        <v>1624</v>
      </c>
      <c r="D53" s="511" t="s">
        <v>1624</v>
      </c>
      <c r="E53" s="511" t="s">
        <v>1624</v>
      </c>
      <c r="F53" s="511" t="s">
        <v>1624</v>
      </c>
      <c r="G53" s="511" t="s">
        <v>1636</v>
      </c>
    </row>
    <row r="54" spans="1:11" ht="24" x14ac:dyDescent="0.35">
      <c r="A54" s="1682"/>
      <c r="B54" s="512" t="s">
        <v>1654</v>
      </c>
      <c r="C54" s="512" t="s">
        <v>1626</v>
      </c>
      <c r="D54" s="512" t="s">
        <v>1626</v>
      </c>
      <c r="E54" s="512" t="s">
        <v>1626</v>
      </c>
      <c r="F54" s="512" t="s">
        <v>1626</v>
      </c>
      <c r="G54" s="512" t="s">
        <v>1638</v>
      </c>
      <c r="K54" s="538" t="s">
        <v>1720</v>
      </c>
    </row>
    <row r="55" spans="1:11" ht="24.5" thickBot="1" x14ac:dyDescent="0.4">
      <c r="A55" s="1683"/>
      <c r="B55" s="513"/>
      <c r="C55" s="514" t="s">
        <v>1627</v>
      </c>
      <c r="D55" s="514" t="s">
        <v>1628</v>
      </c>
      <c r="E55" s="514" t="s">
        <v>1629</v>
      </c>
      <c r="F55" s="514" t="s">
        <v>1630</v>
      </c>
      <c r="G55" s="513"/>
      <c r="J55" s="538" t="s">
        <v>1718</v>
      </c>
      <c r="K55" s="494">
        <v>0.52644000000000002</v>
      </c>
    </row>
    <row r="56" spans="1:11" ht="43.9" customHeight="1" thickBot="1" x14ac:dyDescent="0.4">
      <c r="A56" s="509" t="s">
        <v>1655</v>
      </c>
      <c r="B56" s="510" t="s">
        <v>1656</v>
      </c>
      <c r="C56" s="510">
        <v>13.9</v>
      </c>
      <c r="D56" s="510">
        <v>0</v>
      </c>
      <c r="E56" s="510">
        <v>0</v>
      </c>
      <c r="F56" s="510">
        <v>13.9</v>
      </c>
      <c r="G56" s="510">
        <v>18</v>
      </c>
    </row>
    <row r="57" spans="1:11" ht="15" thickBot="1" x14ac:dyDescent="0.4">
      <c r="A57" s="509" t="s">
        <v>1086</v>
      </c>
      <c r="B57" s="515" t="s">
        <v>1656</v>
      </c>
      <c r="C57" s="510">
        <v>3.5</v>
      </c>
      <c r="D57" s="510">
        <v>0</v>
      </c>
      <c r="E57" s="510">
        <v>0</v>
      </c>
      <c r="F57" s="510">
        <v>3.5</v>
      </c>
      <c r="G57" s="510">
        <v>18</v>
      </c>
    </row>
    <row r="58" spans="1:11" ht="29.5" thickBot="1" x14ac:dyDescent="0.4">
      <c r="A58" s="509" t="s">
        <v>1087</v>
      </c>
      <c r="B58" s="515" t="s">
        <v>1088</v>
      </c>
      <c r="C58" s="510">
        <v>69.599999999999994</v>
      </c>
      <c r="D58" s="510">
        <v>0.08</v>
      </c>
      <c r="E58" s="510">
        <v>0.2</v>
      </c>
      <c r="F58" s="510">
        <v>69.88</v>
      </c>
      <c r="G58" s="510" t="s">
        <v>1111</v>
      </c>
    </row>
    <row r="59" spans="1:11" ht="15" thickBot="1" x14ac:dyDescent="0.4">
      <c r="A59" s="509" t="s">
        <v>1657</v>
      </c>
      <c r="B59" s="515" t="s">
        <v>1090</v>
      </c>
      <c r="C59" s="510">
        <v>61</v>
      </c>
      <c r="D59" s="510">
        <v>0.08</v>
      </c>
      <c r="E59" s="510">
        <v>0.2</v>
      </c>
      <c r="F59" s="510">
        <v>61.28</v>
      </c>
      <c r="G59" s="510" t="s">
        <v>1111</v>
      </c>
    </row>
    <row r="60" spans="1:11" ht="29.5" thickBot="1" x14ac:dyDescent="0.4">
      <c r="A60" s="534" t="s">
        <v>1672</v>
      </c>
      <c r="B60" s="535">
        <v>34.200000000000003</v>
      </c>
      <c r="C60" s="536">
        <v>67.400000000000006</v>
      </c>
      <c r="D60" s="536">
        <v>0.2</v>
      </c>
      <c r="E60" s="536">
        <v>0.2</v>
      </c>
      <c r="F60" s="536">
        <v>67.8</v>
      </c>
      <c r="G60" s="536">
        <v>17.2</v>
      </c>
    </row>
    <row r="61" spans="1:11" ht="15" thickBot="1" x14ac:dyDescent="0.4">
      <c r="A61" s="534" t="s">
        <v>1671</v>
      </c>
      <c r="B61" s="535">
        <v>33.1</v>
      </c>
      <c r="C61" s="536">
        <v>67</v>
      </c>
      <c r="D61" s="536">
        <v>0.2</v>
      </c>
      <c r="E61" s="536">
        <v>0.2</v>
      </c>
      <c r="F61" s="536">
        <v>67.400000000000006</v>
      </c>
      <c r="G61" s="536">
        <v>18</v>
      </c>
    </row>
    <row r="62" spans="1:11" ht="29.5" thickBot="1" x14ac:dyDescent="0.4">
      <c r="A62" s="509" t="s">
        <v>1093</v>
      </c>
      <c r="B62" s="515" t="s">
        <v>1658</v>
      </c>
      <c r="C62" s="510">
        <v>68.900000000000006</v>
      </c>
      <c r="D62" s="510">
        <v>0.01</v>
      </c>
      <c r="E62" s="510">
        <v>0.2</v>
      </c>
      <c r="F62" s="510">
        <v>69.11</v>
      </c>
      <c r="G62" s="510">
        <v>18</v>
      </c>
    </row>
    <row r="63" spans="1:11" ht="15" thickBot="1" x14ac:dyDescent="0.4">
      <c r="A63" s="534" t="s">
        <v>1717</v>
      </c>
      <c r="B63" s="535">
        <v>36.799999999999997</v>
      </c>
      <c r="C63" s="536">
        <v>69.599999999999994</v>
      </c>
      <c r="D63" s="536">
        <v>0.02</v>
      </c>
      <c r="E63" s="536">
        <v>0.2</v>
      </c>
      <c r="F63" s="536">
        <v>69.819999999999993</v>
      </c>
      <c r="G63" s="536">
        <v>18</v>
      </c>
    </row>
    <row r="64" spans="1:11" ht="24" customHeight="1" thickBot="1" x14ac:dyDescent="0.4">
      <c r="A64" s="509" t="s">
        <v>1095</v>
      </c>
      <c r="B64" s="515" t="s">
        <v>1659</v>
      </c>
      <c r="C64" s="510">
        <v>69.5</v>
      </c>
      <c r="D64" s="510">
        <v>0.03</v>
      </c>
      <c r="E64" s="510">
        <v>0.2</v>
      </c>
      <c r="F64" s="510">
        <v>69.73</v>
      </c>
      <c r="G64" s="510">
        <v>18</v>
      </c>
    </row>
    <row r="65" spans="1:7" ht="15" thickBot="1" x14ac:dyDescent="0.4">
      <c r="A65" s="534" t="s">
        <v>1708</v>
      </c>
      <c r="B65" s="535">
        <v>38.6</v>
      </c>
      <c r="C65" s="536">
        <v>69.900000000000006</v>
      </c>
      <c r="D65" s="536">
        <v>0.1</v>
      </c>
      <c r="E65" s="536">
        <v>0.2</v>
      </c>
      <c r="F65" s="536">
        <v>70.2</v>
      </c>
      <c r="G65" s="536">
        <v>17.3</v>
      </c>
    </row>
    <row r="66" spans="1:7" ht="15" thickBot="1" x14ac:dyDescent="0.4">
      <c r="A66" s="509" t="s">
        <v>1097</v>
      </c>
      <c r="B66" s="515" t="s">
        <v>1660</v>
      </c>
      <c r="C66" s="510">
        <v>73.599999999999994</v>
      </c>
      <c r="D66" s="510">
        <v>0.04</v>
      </c>
      <c r="E66" s="510">
        <v>0.2</v>
      </c>
      <c r="F66" s="510">
        <v>73.84</v>
      </c>
      <c r="G66" s="510">
        <v>18</v>
      </c>
    </row>
    <row r="67" spans="1:7" ht="15" thickBot="1" x14ac:dyDescent="0.4">
      <c r="A67" s="509" t="s">
        <v>1098</v>
      </c>
      <c r="B67" s="515" t="s">
        <v>1661</v>
      </c>
      <c r="C67" s="510">
        <v>69.7</v>
      </c>
      <c r="D67" s="510">
        <v>0.03</v>
      </c>
      <c r="E67" s="510">
        <v>0.2</v>
      </c>
      <c r="F67" s="510">
        <v>69.930000000000007</v>
      </c>
      <c r="G67" s="510">
        <v>18</v>
      </c>
    </row>
    <row r="68" spans="1:7" ht="29.5" thickBot="1" x14ac:dyDescent="0.4">
      <c r="A68" s="509" t="s">
        <v>1099</v>
      </c>
      <c r="B68" s="515" t="s">
        <v>1661</v>
      </c>
      <c r="C68" s="510">
        <v>69.7</v>
      </c>
      <c r="D68" s="510">
        <v>0.03</v>
      </c>
      <c r="E68" s="510">
        <v>0.2</v>
      </c>
      <c r="F68" s="510">
        <v>69.930000000000007</v>
      </c>
      <c r="G68" s="510">
        <v>18</v>
      </c>
    </row>
    <row r="69" spans="1:7" ht="15" thickBot="1" x14ac:dyDescent="0.4">
      <c r="A69" s="534" t="s">
        <v>1710</v>
      </c>
      <c r="B69" s="535">
        <v>25.7</v>
      </c>
      <c r="C69" s="536">
        <v>60.2</v>
      </c>
      <c r="D69" s="536">
        <v>0.2</v>
      </c>
      <c r="E69" s="536">
        <v>0.2</v>
      </c>
      <c r="F69" s="536">
        <v>60.6</v>
      </c>
      <c r="G69" s="536">
        <v>20.2</v>
      </c>
    </row>
    <row r="70" spans="1:7" ht="15" thickBot="1" x14ac:dyDescent="0.4">
      <c r="A70" s="509" t="s">
        <v>1101</v>
      </c>
      <c r="B70" s="515" t="s">
        <v>1662</v>
      </c>
      <c r="C70" s="510">
        <v>69.8</v>
      </c>
      <c r="D70" s="510">
        <v>0.01</v>
      </c>
      <c r="E70" s="510">
        <v>0.01</v>
      </c>
      <c r="F70" s="510">
        <v>69.819999999999993</v>
      </c>
      <c r="G70" s="510">
        <v>18</v>
      </c>
    </row>
    <row r="71" spans="1:7" ht="15" thickBot="1" x14ac:dyDescent="0.4">
      <c r="A71" s="509" t="s">
        <v>1102</v>
      </c>
      <c r="B71" s="515" t="s">
        <v>1103</v>
      </c>
      <c r="C71" s="510">
        <v>92.6</v>
      </c>
      <c r="D71" s="510">
        <v>0.08</v>
      </c>
      <c r="E71" s="510">
        <v>0.2</v>
      </c>
      <c r="F71" s="510">
        <v>92.88</v>
      </c>
      <c r="G71" s="510">
        <v>18</v>
      </c>
    </row>
    <row r="72" spans="1:7" ht="15" thickBot="1" x14ac:dyDescent="0.4">
      <c r="A72" s="509" t="s">
        <v>1104</v>
      </c>
      <c r="B72" s="515" t="s">
        <v>1105</v>
      </c>
      <c r="C72" s="510">
        <v>54.7</v>
      </c>
      <c r="D72" s="510">
        <v>0.03</v>
      </c>
      <c r="E72" s="510">
        <v>0.03</v>
      </c>
      <c r="F72" s="510">
        <v>54.76</v>
      </c>
      <c r="G72" s="510">
        <v>18</v>
      </c>
    </row>
    <row r="73" spans="1:7" ht="15" thickBot="1" x14ac:dyDescent="0.4">
      <c r="A73" s="509" t="s">
        <v>1106</v>
      </c>
      <c r="B73" s="515" t="s">
        <v>1103</v>
      </c>
      <c r="C73" s="510">
        <v>92.6</v>
      </c>
      <c r="D73" s="510">
        <v>0.08</v>
      </c>
      <c r="E73" s="510">
        <v>0.2</v>
      </c>
      <c r="F73" s="510">
        <v>92.88</v>
      </c>
      <c r="G73" s="510">
        <v>18</v>
      </c>
    </row>
    <row r="74" spans="1:7" ht="29.5" thickBot="1" x14ac:dyDescent="0.4">
      <c r="A74" s="509" t="s">
        <v>1107</v>
      </c>
      <c r="B74" s="515" t="s">
        <v>1661</v>
      </c>
      <c r="C74" s="510">
        <v>69.8</v>
      </c>
      <c r="D74" s="510">
        <v>0.02</v>
      </c>
      <c r="E74" s="510">
        <v>0.1</v>
      </c>
      <c r="F74" s="510">
        <v>69.92</v>
      </c>
      <c r="G74" s="510">
        <v>18</v>
      </c>
    </row>
    <row r="75" spans="1:7" ht="15" thickBot="1" x14ac:dyDescent="0.4">
      <c r="A75" s="509" t="s">
        <v>1663</v>
      </c>
      <c r="B75" s="515" t="s">
        <v>1664</v>
      </c>
      <c r="C75" s="510">
        <v>0</v>
      </c>
      <c r="D75" s="510">
        <v>0.08</v>
      </c>
      <c r="E75" s="510">
        <v>0.2</v>
      </c>
      <c r="F75" s="510">
        <v>0.28000000000000003</v>
      </c>
      <c r="G75" s="510" t="s">
        <v>1111</v>
      </c>
    </row>
    <row r="76" spans="1:7" ht="29.5" thickBot="1" x14ac:dyDescent="0.4">
      <c r="A76" s="509" t="s">
        <v>1109</v>
      </c>
      <c r="B76" s="515" t="s">
        <v>1665</v>
      </c>
      <c r="C76" s="510">
        <v>0</v>
      </c>
      <c r="D76" s="510">
        <v>0.08</v>
      </c>
      <c r="E76" s="510">
        <v>0.2</v>
      </c>
      <c r="F76" s="510">
        <v>0.28000000000000003</v>
      </c>
      <c r="G76" s="510" t="s">
        <v>1111</v>
      </c>
    </row>
    <row r="77" spans="1:7" ht="29.5" thickBot="1" x14ac:dyDescent="0.4">
      <c r="A77" s="509" t="s">
        <v>1666</v>
      </c>
      <c r="B77" s="515" t="s">
        <v>1665</v>
      </c>
      <c r="C77" s="510">
        <v>0</v>
      </c>
      <c r="D77" s="510">
        <v>0.08</v>
      </c>
      <c r="E77" s="510">
        <v>0.2</v>
      </c>
      <c r="F77" s="510">
        <v>0.28000000000000003</v>
      </c>
      <c r="G77" s="510" t="s">
        <v>1111</v>
      </c>
    </row>
    <row r="78" spans="1:7" ht="15" thickBot="1" x14ac:dyDescent="0.4">
      <c r="A78" s="509" t="s">
        <v>1667</v>
      </c>
      <c r="B78" s="515" t="s">
        <v>1668</v>
      </c>
      <c r="C78" s="510">
        <v>0</v>
      </c>
      <c r="D78" s="510">
        <v>0.02</v>
      </c>
      <c r="E78" s="510">
        <v>0.2</v>
      </c>
      <c r="F78" s="510">
        <v>0.22</v>
      </c>
      <c r="G78" s="510" t="s">
        <v>1111</v>
      </c>
    </row>
    <row r="79" spans="1:7" ht="15" thickBot="1" x14ac:dyDescent="0.4">
      <c r="A79" s="509" t="s">
        <v>1669</v>
      </c>
      <c r="B79" s="515" t="s">
        <v>1670</v>
      </c>
      <c r="C79" s="510">
        <v>0</v>
      </c>
      <c r="D79" s="510">
        <v>0.1</v>
      </c>
      <c r="E79" s="510">
        <v>0.2</v>
      </c>
      <c r="F79" s="510">
        <v>0.3</v>
      </c>
      <c r="G79" s="510" t="s">
        <v>1111</v>
      </c>
    </row>
    <row r="81" spans="1:17" x14ac:dyDescent="0.35">
      <c r="A81" s="537" t="s">
        <v>1078</v>
      </c>
      <c r="B81" s="275"/>
      <c r="C81" s="275"/>
    </row>
    <row r="82" spans="1:17" x14ac:dyDescent="0.35">
      <c r="A82" s="4"/>
    </row>
    <row r="83" spans="1:17" ht="23.5" x14ac:dyDescent="0.55000000000000004">
      <c r="A83" s="1651" t="s">
        <v>47</v>
      </c>
      <c r="B83" s="1652"/>
      <c r="C83" s="1652"/>
      <c r="D83" s="1652"/>
      <c r="E83" s="1652"/>
      <c r="F83" s="1652"/>
      <c r="G83" s="1652"/>
      <c r="H83" s="1652"/>
      <c r="I83" s="1652"/>
      <c r="J83" s="1652"/>
      <c r="K83" s="1652"/>
      <c r="L83" s="1652"/>
      <c r="M83" s="1652"/>
      <c r="N83" s="1652"/>
      <c r="O83" s="1652"/>
      <c r="P83" s="1652"/>
      <c r="Q83" s="1653"/>
    </row>
    <row r="84" spans="1:17" ht="15" thickBot="1" x14ac:dyDescent="0.4"/>
    <row r="85" spans="1:17" ht="15" thickBot="1" x14ac:dyDescent="0.4">
      <c r="A85" s="498" t="s">
        <v>1694</v>
      </c>
      <c r="B85" s="499" t="s">
        <v>1695</v>
      </c>
      <c r="D85" s="531" t="s">
        <v>1700</v>
      </c>
      <c r="E85" s="532" t="s">
        <v>1703</v>
      </c>
      <c r="F85" s="531" t="s">
        <v>1704</v>
      </c>
    </row>
    <row r="86" spans="1:17" x14ac:dyDescent="0.35">
      <c r="A86" s="501" t="s">
        <v>48</v>
      </c>
      <c r="B86" s="502">
        <v>1.87</v>
      </c>
      <c r="D86" s="533" t="s">
        <v>1701</v>
      </c>
      <c r="E86" s="505">
        <v>22.5</v>
      </c>
      <c r="F86" s="533">
        <f>E86*0.425144</f>
        <v>9.5657399999999999</v>
      </c>
    </row>
    <row r="87" spans="1:17" x14ac:dyDescent="0.35">
      <c r="A87" s="504" t="s">
        <v>46</v>
      </c>
      <c r="B87" s="505">
        <v>2.0699999999999998</v>
      </c>
      <c r="D87" s="533" t="s">
        <v>1705</v>
      </c>
      <c r="E87" s="505">
        <v>16.2</v>
      </c>
      <c r="F87" s="533">
        <f t="shared" ref="F87:F88" si="0">E87*0.425144</f>
        <v>6.8873328000000003</v>
      </c>
    </row>
    <row r="88" spans="1:17" x14ac:dyDescent="0.35">
      <c r="A88" s="525" t="s">
        <v>45</v>
      </c>
      <c r="B88" s="526">
        <v>0.7</v>
      </c>
      <c r="D88" s="533" t="s">
        <v>1706</v>
      </c>
      <c r="E88" s="507">
        <v>8.8000000000000007</v>
      </c>
      <c r="F88" s="533">
        <f t="shared" si="0"/>
        <v>3.7412672000000007</v>
      </c>
    </row>
    <row r="89" spans="1:17" x14ac:dyDescent="0.35">
      <c r="A89" s="527"/>
      <c r="B89" s="528"/>
    </row>
    <row r="90" spans="1:17" x14ac:dyDescent="0.35">
      <c r="A90" t="s">
        <v>1112</v>
      </c>
      <c r="B90" s="530"/>
      <c r="D90" s="162" t="s">
        <v>1707</v>
      </c>
    </row>
    <row r="91" spans="1:17" x14ac:dyDescent="0.35">
      <c r="A91" s="208" t="s">
        <v>1113</v>
      </c>
      <c r="B91" s="530"/>
    </row>
    <row r="92" spans="1:17" x14ac:dyDescent="0.35">
      <c r="A92" s="529"/>
      <c r="B92" s="530"/>
    </row>
    <row r="93" spans="1:17" ht="23.5" x14ac:dyDescent="0.55000000000000004">
      <c r="A93" s="1651" t="s">
        <v>1836</v>
      </c>
      <c r="B93" s="1652"/>
      <c r="C93" s="1652"/>
      <c r="D93" s="1652"/>
      <c r="E93" s="1652"/>
      <c r="F93" s="1652"/>
      <c r="G93" s="1652"/>
      <c r="H93" s="1652"/>
      <c r="I93" s="1652"/>
      <c r="J93" s="1652"/>
      <c r="K93" s="1652"/>
      <c r="L93" s="1652"/>
      <c r="M93" s="1652"/>
      <c r="N93" s="1652"/>
      <c r="O93" s="1652"/>
      <c r="P93" s="1652"/>
      <c r="Q93" s="1653"/>
    </row>
    <row r="94" spans="1:17" x14ac:dyDescent="0.35">
      <c r="A94" s="1656" t="s">
        <v>1114</v>
      </c>
      <c r="B94" s="1657"/>
      <c r="C94" s="1657"/>
      <c r="D94" s="1657"/>
      <c r="E94" s="1657"/>
      <c r="F94" s="1658"/>
    </row>
    <row r="95" spans="1:17" ht="15.5" x14ac:dyDescent="0.35">
      <c r="A95" s="1659" t="s">
        <v>1115</v>
      </c>
      <c r="B95" s="1660"/>
      <c r="C95" s="1660"/>
      <c r="D95" s="1660"/>
      <c r="E95" s="1660"/>
      <c r="F95" s="1661"/>
    </row>
    <row r="96" spans="1:17" x14ac:dyDescent="0.35">
      <c r="A96" s="1662" t="s">
        <v>1116</v>
      </c>
      <c r="B96" s="1663"/>
      <c r="C96" s="1663"/>
      <c r="D96" s="1663"/>
      <c r="E96" s="1663"/>
      <c r="F96" s="1664"/>
    </row>
    <row r="97" spans="1:17" x14ac:dyDescent="0.35">
      <c r="A97" s="6" t="s">
        <v>1117</v>
      </c>
    </row>
    <row r="98" spans="1:17" x14ac:dyDescent="0.35">
      <c r="A98" s="6"/>
    </row>
    <row r="99" spans="1:17" ht="37" x14ac:dyDescent="0.35">
      <c r="A99" s="252" t="s">
        <v>430</v>
      </c>
      <c r="B99" s="252" t="s">
        <v>432</v>
      </c>
    </row>
    <row r="100" spans="1:17" ht="15.5" x14ac:dyDescent="0.35">
      <c r="A100" s="249">
        <v>0.01</v>
      </c>
      <c r="B100" s="249">
        <v>1.5713999999999999</v>
      </c>
    </row>
    <row r="102" spans="1:17" ht="37" x14ac:dyDescent="0.35">
      <c r="A102" s="252" t="s">
        <v>436</v>
      </c>
      <c r="B102" s="252" t="s">
        <v>432</v>
      </c>
    </row>
    <row r="103" spans="1:17" ht="15.5" x14ac:dyDescent="0.35">
      <c r="A103" s="249">
        <v>7.4999999999999997E-3</v>
      </c>
      <c r="B103" s="249">
        <v>1.5713999999999999</v>
      </c>
    </row>
    <row r="104" spans="1:17" x14ac:dyDescent="0.35">
      <c r="A104" s="6" t="s">
        <v>1117</v>
      </c>
    </row>
    <row r="105" spans="1:17" x14ac:dyDescent="0.35">
      <c r="A105" s="6"/>
    </row>
    <row r="106" spans="1:17" s="24" customFormat="1" ht="15.5" x14ac:dyDescent="0.35">
      <c r="A106" s="592" t="s">
        <v>1437</v>
      </c>
      <c r="B106" s="592" t="s">
        <v>803</v>
      </c>
      <c r="C106" s="592" t="s">
        <v>1828</v>
      </c>
      <c r="D106" s="592" t="s">
        <v>1157</v>
      </c>
      <c r="F106" s="259"/>
    </row>
    <row r="107" spans="1:17" s="24" customFormat="1" ht="62" x14ac:dyDescent="0.35">
      <c r="A107" s="593" t="s">
        <v>957</v>
      </c>
      <c r="B107" s="594" t="s">
        <v>1829</v>
      </c>
      <c r="C107" s="595">
        <v>3.1337000000000002</v>
      </c>
      <c r="D107" s="261" t="s">
        <v>1830</v>
      </c>
      <c r="F107" s="259"/>
    </row>
    <row r="108" spans="1:17" s="24" customFormat="1" ht="62" x14ac:dyDescent="0.35">
      <c r="A108" s="593" t="s">
        <v>960</v>
      </c>
      <c r="B108" s="594" t="s">
        <v>1831</v>
      </c>
      <c r="C108" s="596">
        <v>3.8645</v>
      </c>
      <c r="D108" s="261" t="s">
        <v>1830</v>
      </c>
      <c r="F108" s="259"/>
    </row>
    <row r="109" spans="1:17" s="24" customFormat="1" ht="46.5" x14ac:dyDescent="0.35">
      <c r="A109" s="593" t="s">
        <v>965</v>
      </c>
      <c r="B109" s="594" t="s">
        <v>1832</v>
      </c>
      <c r="C109" s="595">
        <v>3.9821000000000002E-2</v>
      </c>
      <c r="D109" s="261" t="s">
        <v>1830</v>
      </c>
      <c r="F109" s="259"/>
    </row>
    <row r="110" spans="1:17" x14ac:dyDescent="0.35">
      <c r="A110" s="6"/>
    </row>
    <row r="111" spans="1:17" ht="23.5" x14ac:dyDescent="0.55000000000000004">
      <c r="A111" s="1651" t="s">
        <v>1118</v>
      </c>
      <c r="B111" s="1652"/>
      <c r="C111" s="1652"/>
      <c r="D111" s="1652"/>
      <c r="E111" s="1652"/>
      <c r="F111" s="1652"/>
      <c r="G111" s="1652"/>
      <c r="H111" s="1652"/>
      <c r="I111" s="1652"/>
      <c r="J111" s="1652"/>
      <c r="K111" s="1652"/>
      <c r="L111" s="1652"/>
      <c r="M111" s="1652"/>
      <c r="N111" s="1652"/>
      <c r="O111" s="1652"/>
      <c r="P111" s="1652"/>
      <c r="Q111" s="1653"/>
    </row>
    <row r="112" spans="1:17" x14ac:dyDescent="0.35">
      <c r="A112" s="3"/>
      <c r="B112" s="3"/>
    </row>
    <row r="113" spans="1:1" x14ac:dyDescent="0.35">
      <c r="A113" s="6" t="s">
        <v>1119</v>
      </c>
    </row>
    <row r="135" spans="1:17" ht="23.5" x14ac:dyDescent="0.55000000000000004">
      <c r="A135" s="1651" t="s">
        <v>1120</v>
      </c>
      <c r="B135" s="1652"/>
      <c r="C135" s="1652"/>
      <c r="D135" s="1652"/>
      <c r="E135" s="1652"/>
      <c r="F135" s="1652"/>
      <c r="G135" s="1652"/>
      <c r="H135" s="1652"/>
      <c r="I135" s="1652"/>
      <c r="J135" s="1652"/>
      <c r="K135" s="1652"/>
      <c r="L135" s="1652"/>
      <c r="M135" s="1652"/>
      <c r="N135" s="1652"/>
      <c r="O135" s="1652"/>
      <c r="P135" s="1652"/>
      <c r="Q135" s="1653"/>
    </row>
    <row r="137" spans="1:17" x14ac:dyDescent="0.35">
      <c r="A137" s="1671" t="s">
        <v>1121</v>
      </c>
      <c r="B137" s="1671"/>
      <c r="C137" s="1671"/>
      <c r="D137" s="1671"/>
      <c r="E137" s="1671"/>
      <c r="F137" s="1671"/>
      <c r="G137" s="1671"/>
      <c r="H137" s="1671"/>
      <c r="I137" s="1671"/>
    </row>
    <row r="138" spans="1:17" x14ac:dyDescent="0.35">
      <c r="A138" s="1671" t="s">
        <v>1122</v>
      </c>
      <c r="B138" s="1671"/>
      <c r="C138" s="1671"/>
      <c r="D138" s="1671"/>
      <c r="E138" s="1671"/>
      <c r="F138" s="1671"/>
      <c r="G138" s="1671"/>
      <c r="H138" s="1671"/>
      <c r="I138" s="1671"/>
    </row>
    <row r="139" spans="1:17" ht="15" thickBot="1" x14ac:dyDescent="0.4">
      <c r="B139" s="272" t="s">
        <v>1123</v>
      </c>
    </row>
    <row r="140" spans="1:17" ht="15" thickBot="1" x14ac:dyDescent="0.4">
      <c r="B140" s="278" t="s">
        <v>1124</v>
      </c>
      <c r="C140" s="269" t="s">
        <v>447</v>
      </c>
      <c r="D140" s="269" t="s">
        <v>450</v>
      </c>
    </row>
    <row r="141" spans="1:17" ht="15" thickBot="1" x14ac:dyDescent="0.4">
      <c r="B141" s="270" t="s">
        <v>454</v>
      </c>
      <c r="C141" s="271" t="s">
        <v>1125</v>
      </c>
      <c r="D141" s="271">
        <v>1</v>
      </c>
    </row>
    <row r="142" spans="1:17" ht="15" thickBot="1" x14ac:dyDescent="0.4">
      <c r="B142" s="270" t="s">
        <v>455</v>
      </c>
      <c r="C142" s="271" t="s">
        <v>1126</v>
      </c>
      <c r="D142" s="271">
        <v>28</v>
      </c>
    </row>
    <row r="143" spans="1:17" ht="15" thickBot="1" x14ac:dyDescent="0.4">
      <c r="B143" s="270" t="s">
        <v>1127</v>
      </c>
      <c r="C143" s="271" t="s">
        <v>1128</v>
      </c>
      <c r="D143" s="271">
        <v>265</v>
      </c>
    </row>
    <row r="144" spans="1:17" ht="15" thickBot="1" x14ac:dyDescent="0.4">
      <c r="B144" s="270" t="s">
        <v>459</v>
      </c>
      <c r="C144" s="271" t="s">
        <v>1129</v>
      </c>
      <c r="D144" s="279">
        <v>23500</v>
      </c>
    </row>
    <row r="145" spans="2:4" ht="15" thickBot="1" x14ac:dyDescent="0.4">
      <c r="B145" s="280" t="s">
        <v>1130</v>
      </c>
      <c r="C145" s="271"/>
      <c r="D145" s="271"/>
    </row>
    <row r="146" spans="2:4" ht="15" thickBot="1" x14ac:dyDescent="0.4">
      <c r="B146" s="270" t="s">
        <v>501</v>
      </c>
      <c r="C146" s="271" t="s">
        <v>1131</v>
      </c>
      <c r="D146" s="281">
        <v>12400</v>
      </c>
    </row>
    <row r="147" spans="2:4" ht="15" thickBot="1" x14ac:dyDescent="0.4">
      <c r="B147" s="270" t="s">
        <v>503</v>
      </c>
      <c r="C147" s="271" t="s">
        <v>1132</v>
      </c>
      <c r="D147" s="271">
        <v>677</v>
      </c>
    </row>
    <row r="148" spans="2:4" ht="15" thickBot="1" x14ac:dyDescent="0.4">
      <c r="B148" s="270" t="s">
        <v>505</v>
      </c>
      <c r="C148" s="271" t="s">
        <v>1133</v>
      </c>
      <c r="D148" s="271">
        <v>116</v>
      </c>
    </row>
    <row r="149" spans="2:4" ht="15" thickBot="1" x14ac:dyDescent="0.4">
      <c r="B149" s="270" t="s">
        <v>507</v>
      </c>
      <c r="C149" s="271" t="s">
        <v>1134</v>
      </c>
      <c r="D149" s="281">
        <v>1650</v>
      </c>
    </row>
    <row r="150" spans="2:4" ht="15" thickBot="1" x14ac:dyDescent="0.4">
      <c r="B150" s="270" t="s">
        <v>509</v>
      </c>
      <c r="C150" s="271" t="s">
        <v>1135</v>
      </c>
      <c r="D150" s="281">
        <v>3170</v>
      </c>
    </row>
    <row r="151" spans="2:4" ht="15" thickBot="1" x14ac:dyDescent="0.4">
      <c r="B151" s="270" t="s">
        <v>511</v>
      </c>
      <c r="C151" s="271" t="s">
        <v>1136</v>
      </c>
      <c r="D151" s="281">
        <v>1120</v>
      </c>
    </row>
    <row r="152" spans="2:4" ht="15" thickBot="1" x14ac:dyDescent="0.4">
      <c r="B152" s="270" t="s">
        <v>513</v>
      </c>
      <c r="C152" s="271" t="s">
        <v>1137</v>
      </c>
      <c r="D152" s="281">
        <v>1300</v>
      </c>
    </row>
    <row r="153" spans="2:4" ht="15" thickBot="1" x14ac:dyDescent="0.4">
      <c r="B153" s="270" t="s">
        <v>515</v>
      </c>
      <c r="C153" s="271" t="s">
        <v>1138</v>
      </c>
      <c r="D153" s="271">
        <v>328</v>
      </c>
    </row>
    <row r="154" spans="2:4" ht="15" thickBot="1" x14ac:dyDescent="0.4">
      <c r="B154" s="270" t="s">
        <v>517</v>
      </c>
      <c r="C154" s="271" t="s">
        <v>1139</v>
      </c>
      <c r="D154" s="281">
        <v>4800</v>
      </c>
    </row>
    <row r="155" spans="2:4" ht="15" thickBot="1" x14ac:dyDescent="0.4">
      <c r="B155" s="270" t="s">
        <v>519</v>
      </c>
      <c r="C155" s="271" t="s">
        <v>1140</v>
      </c>
      <c r="D155" s="271">
        <v>138</v>
      </c>
    </row>
    <row r="156" spans="2:4" ht="15" thickBot="1" x14ac:dyDescent="0.4">
      <c r="B156" s="270" t="s">
        <v>521</v>
      </c>
      <c r="C156" s="271" t="s">
        <v>1141</v>
      </c>
      <c r="D156" s="281">
        <v>3350</v>
      </c>
    </row>
    <row r="157" spans="2:4" ht="15" thickBot="1" x14ac:dyDescent="0.4">
      <c r="B157" s="270" t="s">
        <v>523</v>
      </c>
      <c r="C157" s="271" t="s">
        <v>1142</v>
      </c>
      <c r="D157" s="281">
        <v>8060</v>
      </c>
    </row>
    <row r="158" spans="2:4" ht="15" thickBot="1" x14ac:dyDescent="0.4">
      <c r="B158" s="270" t="s">
        <v>525</v>
      </c>
      <c r="C158" s="271" t="s">
        <v>1143</v>
      </c>
      <c r="D158" s="271">
        <v>716</v>
      </c>
    </row>
    <row r="159" spans="2:4" ht="15" thickBot="1" x14ac:dyDescent="0.4">
      <c r="B159" s="270" t="s">
        <v>527</v>
      </c>
      <c r="C159" s="271" t="s">
        <v>1144</v>
      </c>
      <c r="D159" s="271">
        <v>858</v>
      </c>
    </row>
    <row r="160" spans="2:4" ht="15" thickBot="1" x14ac:dyDescent="0.4">
      <c r="B160" s="270" t="s">
        <v>529</v>
      </c>
      <c r="C160" s="271" t="s">
        <v>1145</v>
      </c>
      <c r="D160" s="271">
        <v>804</v>
      </c>
    </row>
    <row r="161" spans="1:9" ht="15" thickBot="1" x14ac:dyDescent="0.4">
      <c r="B161" s="280" t="s">
        <v>1146</v>
      </c>
      <c r="C161" s="271"/>
      <c r="D161" s="271"/>
    </row>
    <row r="162" spans="1:9" ht="15" thickBot="1" x14ac:dyDescent="0.4">
      <c r="B162" s="270" t="s">
        <v>1147</v>
      </c>
      <c r="C162" s="271" t="s">
        <v>1148</v>
      </c>
      <c r="D162" s="279">
        <v>6630</v>
      </c>
    </row>
    <row r="163" spans="1:9" ht="15" thickBot="1" x14ac:dyDescent="0.4">
      <c r="B163" s="270" t="s">
        <v>1149</v>
      </c>
      <c r="C163" s="271" t="s">
        <v>1150</v>
      </c>
      <c r="D163" s="279">
        <v>11100</v>
      </c>
    </row>
    <row r="164" spans="1:9" ht="15" thickBot="1" x14ac:dyDescent="0.4">
      <c r="B164" s="270" t="s">
        <v>536</v>
      </c>
      <c r="C164" s="271" t="s">
        <v>1151</v>
      </c>
      <c r="D164" s="279">
        <v>8900</v>
      </c>
    </row>
    <row r="165" spans="1:9" ht="15" thickBot="1" x14ac:dyDescent="0.4">
      <c r="B165" s="270" t="s">
        <v>538</v>
      </c>
      <c r="C165" s="271" t="s">
        <v>1152</v>
      </c>
      <c r="D165" s="279">
        <v>9200</v>
      </c>
    </row>
    <row r="166" spans="1:9" ht="15" thickBot="1" x14ac:dyDescent="0.4">
      <c r="B166" s="270" t="s">
        <v>540</v>
      </c>
      <c r="C166" s="271" t="s">
        <v>1153</v>
      </c>
      <c r="D166" s="279">
        <v>9540</v>
      </c>
    </row>
    <row r="167" spans="1:9" ht="15" thickBot="1" x14ac:dyDescent="0.4">
      <c r="B167" s="270" t="s">
        <v>542</v>
      </c>
      <c r="C167" s="271" t="s">
        <v>1154</v>
      </c>
      <c r="D167" s="279">
        <v>8550</v>
      </c>
    </row>
    <row r="168" spans="1:9" ht="15" thickBot="1" x14ac:dyDescent="0.4">
      <c r="B168" s="270" t="s">
        <v>544</v>
      </c>
      <c r="C168" s="271" t="s">
        <v>1155</v>
      </c>
      <c r="D168" s="279">
        <v>7910</v>
      </c>
    </row>
    <row r="169" spans="1:9" x14ac:dyDescent="0.35">
      <c r="A169" s="245" t="s">
        <v>1078</v>
      </c>
      <c r="B169" s="275"/>
      <c r="C169" s="275"/>
    </row>
    <row r="170" spans="1:9" x14ac:dyDescent="0.35">
      <c r="A170" s="10"/>
    </row>
    <row r="171" spans="1:9" x14ac:dyDescent="0.35">
      <c r="B171" s="1672" t="s">
        <v>1156</v>
      </c>
      <c r="C171" s="1673"/>
      <c r="D171" s="1673"/>
      <c r="E171" s="1674"/>
    </row>
    <row r="172" spans="1:9" x14ac:dyDescent="0.35">
      <c r="B172" s="1675" t="s">
        <v>369</v>
      </c>
      <c r="C172" s="1676"/>
      <c r="D172" s="1677" t="s">
        <v>1157</v>
      </c>
      <c r="E172" s="1679" t="s">
        <v>1158</v>
      </c>
    </row>
    <row r="173" spans="1:9" x14ac:dyDescent="0.35">
      <c r="B173" s="164" t="s">
        <v>446</v>
      </c>
      <c r="C173" s="164" t="s">
        <v>447</v>
      </c>
      <c r="D173" s="1678"/>
      <c r="E173" s="1680"/>
    </row>
    <row r="174" spans="1:9" x14ac:dyDescent="0.35">
      <c r="B174" s="1665" t="s">
        <v>461</v>
      </c>
      <c r="C174" s="1666"/>
      <c r="D174" s="1666"/>
      <c r="E174" s="1667"/>
    </row>
    <row r="175" spans="1:9" ht="16.5" x14ac:dyDescent="0.35">
      <c r="B175" s="163" t="s">
        <v>462</v>
      </c>
      <c r="C175" s="163" t="s">
        <v>1159</v>
      </c>
      <c r="D175" s="163" t="s">
        <v>1160</v>
      </c>
      <c r="E175" s="211">
        <v>4750</v>
      </c>
      <c r="I175" s="212"/>
    </row>
    <row r="176" spans="1:9" ht="16.5" x14ac:dyDescent="0.35">
      <c r="B176" s="163" t="s">
        <v>464</v>
      </c>
      <c r="C176" s="163" t="s">
        <v>1161</v>
      </c>
      <c r="D176" s="163" t="s">
        <v>1160</v>
      </c>
      <c r="E176" s="211">
        <v>10900</v>
      </c>
      <c r="I176" s="212"/>
    </row>
    <row r="177" spans="2:9" ht="16.5" x14ac:dyDescent="0.35">
      <c r="B177" s="163" t="s">
        <v>466</v>
      </c>
      <c r="C177" s="163" t="s">
        <v>1162</v>
      </c>
      <c r="D177" s="163" t="s">
        <v>1160</v>
      </c>
      <c r="E177" s="211">
        <v>14400</v>
      </c>
      <c r="I177" s="212"/>
    </row>
    <row r="178" spans="2:9" ht="16.5" x14ac:dyDescent="0.35">
      <c r="B178" s="163" t="s">
        <v>468</v>
      </c>
      <c r="C178" s="163" t="s">
        <v>1163</v>
      </c>
      <c r="D178" s="163" t="s">
        <v>1160</v>
      </c>
      <c r="E178" s="211">
        <v>6130</v>
      </c>
      <c r="I178" s="212"/>
    </row>
    <row r="179" spans="2:9" ht="16.5" x14ac:dyDescent="0.35">
      <c r="B179" s="163" t="s">
        <v>470</v>
      </c>
      <c r="C179" s="163" t="s">
        <v>1164</v>
      </c>
      <c r="D179" s="163" t="s">
        <v>1160</v>
      </c>
      <c r="E179" s="211">
        <v>10000</v>
      </c>
      <c r="I179" s="212"/>
    </row>
    <row r="180" spans="2:9" ht="16.5" x14ac:dyDescent="0.35">
      <c r="B180" s="163" t="s">
        <v>472</v>
      </c>
      <c r="C180" s="163" t="s">
        <v>1165</v>
      </c>
      <c r="D180" s="163" t="s">
        <v>1160</v>
      </c>
      <c r="E180" s="211">
        <v>7370</v>
      </c>
      <c r="I180" s="212"/>
    </row>
    <row r="181" spans="2:9" ht="16.5" x14ac:dyDescent="0.35">
      <c r="B181" s="163" t="s">
        <v>474</v>
      </c>
      <c r="C181" s="163" t="s">
        <v>1166</v>
      </c>
      <c r="D181" s="163" t="s">
        <v>1160</v>
      </c>
      <c r="E181" s="211">
        <v>7140</v>
      </c>
      <c r="I181" s="212"/>
    </row>
    <row r="182" spans="2:9" ht="16.5" x14ac:dyDescent="0.35">
      <c r="B182" s="163" t="s">
        <v>476</v>
      </c>
      <c r="C182" s="163" t="s">
        <v>1167</v>
      </c>
      <c r="D182" s="163" t="s">
        <v>1160</v>
      </c>
      <c r="E182" s="211">
        <v>1890</v>
      </c>
      <c r="I182" s="212"/>
    </row>
    <row r="183" spans="2:9" ht="16.5" x14ac:dyDescent="0.35">
      <c r="B183" s="163" t="s">
        <v>478</v>
      </c>
      <c r="C183" s="163" t="s">
        <v>1168</v>
      </c>
      <c r="D183" s="163" t="s">
        <v>1160</v>
      </c>
      <c r="E183" s="211">
        <v>1640</v>
      </c>
      <c r="I183" s="212"/>
    </row>
    <row r="184" spans="2:9" ht="16.5" x14ac:dyDescent="0.35">
      <c r="B184" s="163" t="s">
        <v>480</v>
      </c>
      <c r="C184" s="163" t="s">
        <v>1169</v>
      </c>
      <c r="D184" s="163" t="s">
        <v>1160</v>
      </c>
      <c r="E184" s="211">
        <v>1400</v>
      </c>
      <c r="I184" s="212"/>
    </row>
    <row r="185" spans="2:9" ht="16.5" x14ac:dyDescent="0.35">
      <c r="B185" s="163" t="s">
        <v>482</v>
      </c>
      <c r="C185" s="163" t="s">
        <v>1170</v>
      </c>
      <c r="D185" s="163" t="s">
        <v>1160</v>
      </c>
      <c r="E185" s="211">
        <v>5</v>
      </c>
      <c r="I185" s="212"/>
    </row>
    <row r="186" spans="2:9" ht="16.5" x14ac:dyDescent="0.35">
      <c r="B186" s="163" t="s">
        <v>484</v>
      </c>
      <c r="C186" s="163" t="s">
        <v>1171</v>
      </c>
      <c r="D186" s="163" t="s">
        <v>1160</v>
      </c>
      <c r="E186" s="211">
        <v>146</v>
      </c>
      <c r="I186" s="212"/>
    </row>
    <row r="187" spans="2:9" ht="16.5" x14ac:dyDescent="0.35">
      <c r="B187" s="163" t="s">
        <v>486</v>
      </c>
      <c r="C187" s="163" t="s">
        <v>1172</v>
      </c>
      <c r="D187" s="163" t="s">
        <v>1160</v>
      </c>
      <c r="E187" s="211">
        <v>1810</v>
      </c>
      <c r="I187" s="212"/>
    </row>
    <row r="188" spans="2:9" ht="16.5" x14ac:dyDescent="0.35">
      <c r="B188" s="163" t="s">
        <v>488</v>
      </c>
      <c r="C188" s="163" t="s">
        <v>1173</v>
      </c>
      <c r="D188" s="163" t="s">
        <v>1160</v>
      </c>
      <c r="E188" s="211">
        <v>77</v>
      </c>
      <c r="I188" s="212"/>
    </row>
    <row r="189" spans="2:9" ht="16.5" x14ac:dyDescent="0.35">
      <c r="B189" s="163" t="s">
        <v>490</v>
      </c>
      <c r="C189" s="163" t="s">
        <v>1174</v>
      </c>
      <c r="D189" s="163" t="s">
        <v>1160</v>
      </c>
      <c r="E189" s="211">
        <v>609</v>
      </c>
      <c r="I189" s="212"/>
    </row>
    <row r="190" spans="2:9" ht="16.5" x14ac:dyDescent="0.35">
      <c r="B190" s="163" t="s">
        <v>492</v>
      </c>
      <c r="C190" s="163" t="s">
        <v>1175</v>
      </c>
      <c r="D190" s="163" t="s">
        <v>1160</v>
      </c>
      <c r="E190" s="211">
        <v>725</v>
      </c>
      <c r="I190" s="212"/>
    </row>
    <row r="191" spans="2:9" ht="16.5" x14ac:dyDescent="0.35">
      <c r="B191" s="163" t="s">
        <v>494</v>
      </c>
      <c r="C191" s="163" t="s">
        <v>1176</v>
      </c>
      <c r="D191" s="163" t="s">
        <v>1160</v>
      </c>
      <c r="E191" s="211">
        <v>2310</v>
      </c>
      <c r="I191" s="212"/>
    </row>
    <row r="192" spans="2:9" ht="16.5" x14ac:dyDescent="0.35">
      <c r="B192" s="163" t="s">
        <v>496</v>
      </c>
      <c r="C192" s="163" t="s">
        <v>1177</v>
      </c>
      <c r="D192" s="163" t="s">
        <v>1160</v>
      </c>
      <c r="E192" s="211">
        <v>122</v>
      </c>
      <c r="I192" s="212"/>
    </row>
    <row r="193" spans="2:9" ht="16.5" x14ac:dyDescent="0.35">
      <c r="B193" s="163" t="s">
        <v>498</v>
      </c>
      <c r="C193" s="163" t="s">
        <v>1178</v>
      </c>
      <c r="D193" s="163" t="s">
        <v>1160</v>
      </c>
      <c r="E193" s="211">
        <v>595</v>
      </c>
      <c r="I193" s="212"/>
    </row>
    <row r="194" spans="2:9" x14ac:dyDescent="0.35">
      <c r="B194" s="1665" t="s">
        <v>531</v>
      </c>
      <c r="C194" s="1666"/>
      <c r="D194" s="1666"/>
      <c r="E194" s="1667"/>
    </row>
    <row r="195" spans="2:9" ht="16.5" x14ac:dyDescent="0.35">
      <c r="B195" s="163" t="s">
        <v>1179</v>
      </c>
      <c r="C195" s="163" t="s">
        <v>1180</v>
      </c>
      <c r="D195" s="163" t="s">
        <v>1160</v>
      </c>
      <c r="E195" s="209">
        <v>22800</v>
      </c>
      <c r="I195" s="213"/>
    </row>
    <row r="196" spans="2:9" ht="16.5" x14ac:dyDescent="0.35">
      <c r="B196" s="163" t="s">
        <v>1181</v>
      </c>
      <c r="C196" s="163" t="s">
        <v>1182</v>
      </c>
      <c r="D196" s="163" t="s">
        <v>1160</v>
      </c>
      <c r="E196" s="209">
        <v>17200</v>
      </c>
      <c r="I196" s="213"/>
    </row>
    <row r="197" spans="2:9" x14ac:dyDescent="0.35">
      <c r="B197" s="163" t="s">
        <v>1183</v>
      </c>
      <c r="C197" s="163"/>
      <c r="D197" s="163" t="s">
        <v>1160</v>
      </c>
      <c r="E197" s="209">
        <v>17700</v>
      </c>
      <c r="I197" s="213"/>
    </row>
    <row r="198" spans="2:9" x14ac:dyDescent="0.35">
      <c r="B198" s="1665" t="s">
        <v>1184</v>
      </c>
      <c r="C198" s="1666"/>
      <c r="D198" s="1666"/>
      <c r="E198" s="1667"/>
    </row>
    <row r="199" spans="2:9" x14ac:dyDescent="0.35">
      <c r="B199" s="163" t="s">
        <v>1185</v>
      </c>
      <c r="C199" s="163"/>
      <c r="D199" s="163" t="s">
        <v>1160</v>
      </c>
      <c r="E199" s="209">
        <v>14900</v>
      </c>
      <c r="I199" s="213"/>
    </row>
    <row r="200" spans="2:9" x14ac:dyDescent="0.35">
      <c r="B200" s="163" t="s">
        <v>1186</v>
      </c>
      <c r="C200" s="163"/>
      <c r="D200" s="163" t="s">
        <v>1160</v>
      </c>
      <c r="E200" s="209">
        <v>6320</v>
      </c>
      <c r="I200" s="213"/>
    </row>
    <row r="201" spans="2:9" x14ac:dyDescent="0.35">
      <c r="B201" s="163" t="s">
        <v>1187</v>
      </c>
      <c r="C201" s="163"/>
      <c r="D201" s="163" t="s">
        <v>1160</v>
      </c>
      <c r="E201" s="161">
        <v>756</v>
      </c>
      <c r="I201" s="210"/>
    </row>
    <row r="202" spans="2:9" x14ac:dyDescent="0.35">
      <c r="B202" s="163" t="s">
        <v>1188</v>
      </c>
      <c r="C202" s="163"/>
      <c r="D202" s="163" t="s">
        <v>1160</v>
      </c>
      <c r="E202" s="161">
        <v>350</v>
      </c>
      <c r="I202" s="210"/>
    </row>
    <row r="203" spans="2:9" x14ac:dyDescent="0.35">
      <c r="B203" s="163" t="s">
        <v>1189</v>
      </c>
      <c r="C203" s="163"/>
      <c r="D203" s="163" t="s">
        <v>1160</v>
      </c>
      <c r="E203" s="161">
        <v>708</v>
      </c>
      <c r="I203" s="210"/>
    </row>
    <row r="204" spans="2:9" x14ac:dyDescent="0.35">
      <c r="B204" s="163" t="s">
        <v>1190</v>
      </c>
      <c r="C204" s="163"/>
      <c r="D204" s="163" t="s">
        <v>1160</v>
      </c>
      <c r="E204" s="161">
        <v>659</v>
      </c>
      <c r="I204" s="210"/>
    </row>
    <row r="205" spans="2:9" x14ac:dyDescent="0.35">
      <c r="B205" s="163" t="s">
        <v>1191</v>
      </c>
      <c r="C205" s="163"/>
      <c r="D205" s="163" t="s">
        <v>1160</v>
      </c>
      <c r="E205" s="161">
        <v>359</v>
      </c>
      <c r="I205" s="210"/>
    </row>
    <row r="206" spans="2:9" x14ac:dyDescent="0.35">
      <c r="B206" s="163" t="s">
        <v>1192</v>
      </c>
      <c r="C206" s="163"/>
      <c r="D206" s="163" t="s">
        <v>1160</v>
      </c>
      <c r="E206" s="161">
        <v>575</v>
      </c>
      <c r="I206" s="210"/>
    </row>
    <row r="207" spans="2:9" x14ac:dyDescent="0.35">
      <c r="B207" s="163" t="s">
        <v>1193</v>
      </c>
      <c r="C207" s="163"/>
      <c r="D207" s="163" t="s">
        <v>1160</v>
      </c>
      <c r="E207" s="161">
        <v>580</v>
      </c>
      <c r="I207" s="210"/>
    </row>
    <row r="208" spans="2:9" x14ac:dyDescent="0.35">
      <c r="B208" s="163" t="s">
        <v>1194</v>
      </c>
      <c r="C208" s="163"/>
      <c r="D208" s="163" t="s">
        <v>1160</v>
      </c>
      <c r="E208" s="161">
        <v>110</v>
      </c>
      <c r="I208" s="210"/>
    </row>
    <row r="209" spans="2:9" x14ac:dyDescent="0.35">
      <c r="B209" s="163" t="s">
        <v>1195</v>
      </c>
      <c r="C209" s="163"/>
      <c r="D209" s="163" t="s">
        <v>1160</v>
      </c>
      <c r="E209" s="161">
        <v>297</v>
      </c>
      <c r="I209" s="210"/>
    </row>
    <row r="210" spans="2:9" x14ac:dyDescent="0.35">
      <c r="B210" s="163" t="s">
        <v>1196</v>
      </c>
      <c r="C210" s="163"/>
      <c r="D210" s="163" t="s">
        <v>1160</v>
      </c>
      <c r="E210" s="161">
        <v>59</v>
      </c>
      <c r="I210" s="210"/>
    </row>
    <row r="211" spans="2:9" x14ac:dyDescent="0.35">
      <c r="B211" s="163" t="s">
        <v>1197</v>
      </c>
      <c r="C211" s="163"/>
      <c r="D211" s="163" t="s">
        <v>1160</v>
      </c>
      <c r="E211" s="209">
        <v>1870</v>
      </c>
      <c r="I211" s="213"/>
    </row>
    <row r="212" spans="2:9" x14ac:dyDescent="0.35">
      <c r="B212" s="163" t="s">
        <v>1198</v>
      </c>
      <c r="C212" s="163"/>
      <c r="D212" s="163" t="s">
        <v>1160</v>
      </c>
      <c r="E212" s="209">
        <v>2800</v>
      </c>
      <c r="I212" s="213"/>
    </row>
    <row r="213" spans="2:9" x14ac:dyDescent="0.35">
      <c r="B213" s="163" t="s">
        <v>1199</v>
      </c>
      <c r="C213" s="163"/>
      <c r="D213" s="163" t="s">
        <v>1160</v>
      </c>
      <c r="E213" s="209">
        <v>1500</v>
      </c>
      <c r="I213" s="213"/>
    </row>
    <row r="214" spans="2:9" x14ac:dyDescent="0.35">
      <c r="B214" s="1665" t="s">
        <v>1200</v>
      </c>
      <c r="C214" s="1666"/>
      <c r="D214" s="1666"/>
      <c r="E214" s="1667"/>
    </row>
    <row r="215" spans="2:9" x14ac:dyDescent="0.35">
      <c r="B215" s="163" t="s">
        <v>1201</v>
      </c>
      <c r="C215" s="163"/>
      <c r="D215" s="163" t="s">
        <v>1160</v>
      </c>
      <c r="E215" s="209">
        <v>10300</v>
      </c>
      <c r="I215" s="213"/>
    </row>
    <row r="216" spans="2:9" x14ac:dyDescent="0.35">
      <c r="B216" s="1665" t="s">
        <v>1202</v>
      </c>
      <c r="C216" s="1666"/>
      <c r="D216" s="1666"/>
      <c r="E216" s="1667"/>
    </row>
    <row r="217" spans="2:9" x14ac:dyDescent="0.35">
      <c r="B217" s="163" t="s">
        <v>1203</v>
      </c>
      <c r="C217" s="163"/>
      <c r="D217" s="163" t="s">
        <v>1160</v>
      </c>
      <c r="E217" s="161">
        <v>1</v>
      </c>
      <c r="I217" s="210"/>
    </row>
    <row r="218" spans="2:9" x14ac:dyDescent="0.35">
      <c r="B218" s="163" t="s">
        <v>1204</v>
      </c>
      <c r="C218" s="163"/>
      <c r="D218" s="163" t="s">
        <v>1160</v>
      </c>
      <c r="E218" s="161">
        <v>8.6999999999999993</v>
      </c>
      <c r="I218" s="210"/>
    </row>
    <row r="219" spans="2:9" x14ac:dyDescent="0.35">
      <c r="B219" s="163" t="s">
        <v>1205</v>
      </c>
      <c r="C219" s="163"/>
      <c r="D219" s="163" t="s">
        <v>1160</v>
      </c>
      <c r="E219" s="161">
        <v>13</v>
      </c>
      <c r="I219" s="210"/>
    </row>
    <row r="220" spans="2:9" x14ac:dyDescent="0.35">
      <c r="B220" s="1665" t="s">
        <v>1206</v>
      </c>
      <c r="C220" s="1666"/>
      <c r="D220" s="1666"/>
      <c r="E220" s="1667"/>
    </row>
    <row r="221" spans="2:9" x14ac:dyDescent="0.35">
      <c r="B221" s="214" t="s">
        <v>1207</v>
      </c>
      <c r="C221" s="215" t="s">
        <v>1208</v>
      </c>
      <c r="D221" s="214" t="s">
        <v>1160</v>
      </c>
      <c r="E221" s="215" t="s">
        <v>1209</v>
      </c>
    </row>
    <row r="222" spans="2:9" x14ac:dyDescent="0.35">
      <c r="B222" s="163" t="s">
        <v>1210</v>
      </c>
      <c r="C222" s="163" t="s">
        <v>1211</v>
      </c>
      <c r="D222" s="163" t="s">
        <v>1160</v>
      </c>
      <c r="E222" s="216">
        <v>3921.6</v>
      </c>
      <c r="I222" s="217"/>
    </row>
    <row r="223" spans="2:9" x14ac:dyDescent="0.35">
      <c r="B223" s="163" t="s">
        <v>1212</v>
      </c>
      <c r="C223" s="163" t="s">
        <v>1213</v>
      </c>
      <c r="D223" s="163" t="s">
        <v>1160</v>
      </c>
      <c r="E223" s="216">
        <v>1942.72</v>
      </c>
      <c r="I223" s="217"/>
    </row>
    <row r="224" spans="2:9" x14ac:dyDescent="0.35">
      <c r="B224" s="163" t="s">
        <v>1214</v>
      </c>
      <c r="C224" s="163" t="s">
        <v>1215</v>
      </c>
      <c r="D224" s="163" t="s">
        <v>1160</v>
      </c>
      <c r="E224" s="216">
        <v>1773.85</v>
      </c>
      <c r="I224" s="217"/>
    </row>
    <row r="225" spans="2:9" x14ac:dyDescent="0.35">
      <c r="B225" s="163" t="s">
        <v>1216</v>
      </c>
      <c r="C225" s="163" t="s">
        <v>1217</v>
      </c>
      <c r="D225" s="163" t="s">
        <v>1160</v>
      </c>
      <c r="E225" s="216">
        <v>1824.5</v>
      </c>
      <c r="I225" s="217"/>
    </row>
    <row r="226" spans="2:9" x14ac:dyDescent="0.35">
      <c r="B226" s="163" t="s">
        <v>1218</v>
      </c>
      <c r="C226" s="163" t="s">
        <v>1219</v>
      </c>
      <c r="D226" s="163" t="s">
        <v>1160</v>
      </c>
      <c r="E226" s="216">
        <v>1375.84</v>
      </c>
      <c r="I226" s="217"/>
    </row>
    <row r="227" spans="2:9" x14ac:dyDescent="0.35">
      <c r="B227" s="163" t="s">
        <v>1220</v>
      </c>
      <c r="C227" s="163" t="s">
        <v>1221</v>
      </c>
      <c r="D227" s="163" t="s">
        <v>1160</v>
      </c>
      <c r="E227" s="216">
        <v>1584.75</v>
      </c>
      <c r="I227" s="217"/>
    </row>
    <row r="228" spans="2:9" x14ac:dyDescent="0.35">
      <c r="B228" s="163" t="s">
        <v>1222</v>
      </c>
      <c r="C228" s="163" t="s">
        <v>1223</v>
      </c>
      <c r="D228" s="163" t="s">
        <v>1160</v>
      </c>
      <c r="E228" s="216">
        <v>1559.75</v>
      </c>
      <c r="I228" s="217"/>
    </row>
    <row r="229" spans="2:9" x14ac:dyDescent="0.35">
      <c r="B229" s="163" t="s">
        <v>1224</v>
      </c>
      <c r="C229" s="163" t="s">
        <v>1225</v>
      </c>
      <c r="D229" s="163" t="s">
        <v>1160</v>
      </c>
      <c r="E229" s="216">
        <v>2087.5</v>
      </c>
      <c r="I229" s="217"/>
    </row>
    <row r="230" spans="2:9" x14ac:dyDescent="0.35">
      <c r="B230" s="163" t="s">
        <v>1226</v>
      </c>
      <c r="C230" s="163" t="s">
        <v>1227</v>
      </c>
      <c r="D230" s="163" t="s">
        <v>1160</v>
      </c>
      <c r="E230" s="218">
        <v>3.15</v>
      </c>
      <c r="I230" s="219"/>
    </row>
    <row r="231" spans="2:9" x14ac:dyDescent="0.35">
      <c r="B231" s="163" t="s">
        <v>1228</v>
      </c>
      <c r="C231" s="163" t="s">
        <v>1229</v>
      </c>
      <c r="D231" s="163" t="s">
        <v>1160</v>
      </c>
      <c r="E231" s="218">
        <v>3.1559999999999997</v>
      </c>
      <c r="I231" s="219"/>
    </row>
    <row r="232" spans="2:9" x14ac:dyDescent="0.35">
      <c r="B232" s="1665" t="s">
        <v>1230</v>
      </c>
      <c r="C232" s="1666"/>
      <c r="D232" s="1666"/>
      <c r="E232" s="1667"/>
    </row>
    <row r="233" spans="2:9" x14ac:dyDescent="0.35">
      <c r="B233" s="214" t="s">
        <v>1207</v>
      </c>
      <c r="C233" s="215" t="s">
        <v>1208</v>
      </c>
      <c r="D233" s="214" t="s">
        <v>1160</v>
      </c>
      <c r="E233" s="215" t="s">
        <v>1209</v>
      </c>
    </row>
    <row r="234" spans="2:9" x14ac:dyDescent="0.35">
      <c r="B234" s="163" t="s">
        <v>1231</v>
      </c>
      <c r="C234" s="163" t="s">
        <v>1232</v>
      </c>
      <c r="D234" s="220" t="s">
        <v>1160</v>
      </c>
      <c r="E234" s="221">
        <v>3985</v>
      </c>
      <c r="I234" s="222"/>
    </row>
    <row r="235" spans="2:9" x14ac:dyDescent="0.35">
      <c r="B235" s="1668" t="s">
        <v>1233</v>
      </c>
      <c r="C235" s="1669"/>
      <c r="D235" s="1669"/>
      <c r="E235" s="1670"/>
    </row>
    <row r="236" spans="2:9" ht="16.5" x14ac:dyDescent="0.45">
      <c r="B236" s="223" t="s">
        <v>1234</v>
      </c>
      <c r="C236" s="223" t="s">
        <v>1235</v>
      </c>
      <c r="D236" s="223" t="s">
        <v>1160</v>
      </c>
      <c r="E236" s="223">
        <v>216</v>
      </c>
      <c r="F236" s="162"/>
    </row>
    <row r="237" spans="2:9" ht="16.5" x14ac:dyDescent="0.45">
      <c r="B237" s="223" t="s">
        <v>1236</v>
      </c>
      <c r="C237" s="223" t="s">
        <v>1237</v>
      </c>
      <c r="D237" s="223" t="s">
        <v>1160</v>
      </c>
      <c r="E237" s="223">
        <v>350</v>
      </c>
      <c r="F237" s="162"/>
    </row>
    <row r="238" spans="2:9" ht="16.5" x14ac:dyDescent="0.45">
      <c r="B238" s="223" t="s">
        <v>1238</v>
      </c>
      <c r="C238" s="223" t="s">
        <v>1239</v>
      </c>
      <c r="D238" s="223" t="s">
        <v>1160</v>
      </c>
      <c r="E238" s="223">
        <v>1790</v>
      </c>
      <c r="F238" s="162"/>
    </row>
    <row r="239" spans="2:9" x14ac:dyDescent="0.35">
      <c r="B239" s="224" t="s">
        <v>1240</v>
      </c>
      <c r="C239" s="225" t="s">
        <v>1208</v>
      </c>
      <c r="D239" s="226" t="s">
        <v>1160</v>
      </c>
      <c r="E239" s="225" t="s">
        <v>1209</v>
      </c>
      <c r="F239" s="162"/>
    </row>
    <row r="240" spans="2:9" ht="16.5" x14ac:dyDescent="0.45">
      <c r="B240" s="223" t="s">
        <v>1241</v>
      </c>
      <c r="C240" s="223" t="s">
        <v>1242</v>
      </c>
      <c r="D240" s="223" t="s">
        <v>1160</v>
      </c>
      <c r="E240" s="223">
        <v>173</v>
      </c>
      <c r="F240" s="162"/>
    </row>
    <row r="241" spans="1:17" x14ac:dyDescent="0.35">
      <c r="A241" s="10" t="s">
        <v>1243</v>
      </c>
    </row>
    <row r="243" spans="1:17" ht="23.5" x14ac:dyDescent="0.55000000000000004">
      <c r="A243" s="1651" t="s">
        <v>59</v>
      </c>
      <c r="B243" s="1652"/>
      <c r="C243" s="1652"/>
      <c r="D243" s="1652"/>
      <c r="E243" s="1652"/>
      <c r="F243" s="1652"/>
      <c r="G243" s="1652"/>
      <c r="H243" s="1652"/>
      <c r="I243" s="1652"/>
      <c r="J243" s="1652"/>
      <c r="K243" s="1652"/>
      <c r="L243" s="1652"/>
      <c r="M243" s="1652"/>
      <c r="N243" s="1652"/>
      <c r="O243" s="1652"/>
      <c r="P243" s="1652"/>
      <c r="Q243" s="1653"/>
    </row>
    <row r="245" spans="1:17" ht="29.25" customHeight="1" thickBot="1" x14ac:dyDescent="0.4">
      <c r="A245" s="508" t="s">
        <v>1635</v>
      </c>
    </row>
    <row r="246" spans="1:17" ht="29" x14ac:dyDescent="0.35">
      <c r="A246" s="1681" t="s">
        <v>1058</v>
      </c>
      <c r="B246" s="511" t="s">
        <v>1623</v>
      </c>
      <c r="C246" s="511" t="s">
        <v>1624</v>
      </c>
      <c r="D246" s="511" t="s">
        <v>1624</v>
      </c>
      <c r="E246" s="511" t="s">
        <v>1624</v>
      </c>
      <c r="F246" s="511" t="s">
        <v>1624</v>
      </c>
      <c r="G246" s="511" t="s">
        <v>1636</v>
      </c>
    </row>
    <row r="247" spans="1:17" ht="16.5" x14ac:dyDescent="0.35">
      <c r="A247" s="1682"/>
      <c r="B247" s="512" t="s">
        <v>1637</v>
      </c>
      <c r="C247" s="512" t="s">
        <v>1626</v>
      </c>
      <c r="D247" s="512" t="s">
        <v>1626</v>
      </c>
      <c r="E247" s="512" t="s">
        <v>1626</v>
      </c>
      <c r="F247" s="512" t="s">
        <v>1626</v>
      </c>
      <c r="G247" s="512" t="s">
        <v>1638</v>
      </c>
    </row>
    <row r="248" spans="1:17" ht="17" thickBot="1" x14ac:dyDescent="0.4">
      <c r="A248" s="1683"/>
      <c r="B248" s="513"/>
      <c r="C248" s="514" t="s">
        <v>1627</v>
      </c>
      <c r="D248" s="514" t="s">
        <v>1628</v>
      </c>
      <c r="E248" s="514" t="s">
        <v>1629</v>
      </c>
      <c r="F248" s="514" t="s">
        <v>1630</v>
      </c>
      <c r="G248" s="513"/>
    </row>
    <row r="249" spans="1:17" ht="15" thickBot="1" x14ac:dyDescent="0.4">
      <c r="A249" s="509" t="s">
        <v>1244</v>
      </c>
      <c r="B249" s="515">
        <v>27</v>
      </c>
      <c r="C249" s="510">
        <v>90</v>
      </c>
      <c r="D249" s="510">
        <v>0.04</v>
      </c>
      <c r="E249" s="510">
        <v>0.2</v>
      </c>
      <c r="F249" s="510">
        <v>90.24</v>
      </c>
      <c r="G249" s="510">
        <v>3</v>
      </c>
    </row>
    <row r="250" spans="1:17" ht="15" thickBot="1" x14ac:dyDescent="0.4">
      <c r="A250" s="509" t="s">
        <v>1639</v>
      </c>
      <c r="B250" s="515">
        <v>21</v>
      </c>
      <c r="C250" s="510">
        <v>90</v>
      </c>
      <c r="D250" s="510">
        <v>0.04</v>
      </c>
      <c r="E250" s="510">
        <v>0.2</v>
      </c>
      <c r="F250" s="510">
        <v>90.24</v>
      </c>
      <c r="G250" s="510">
        <v>2.5</v>
      </c>
    </row>
    <row r="251" spans="1:17" ht="15" thickBot="1" x14ac:dyDescent="0.4">
      <c r="A251" s="509" t="s">
        <v>1640</v>
      </c>
      <c r="B251" s="515">
        <v>29</v>
      </c>
      <c r="C251" s="510">
        <v>90</v>
      </c>
      <c r="D251" s="510">
        <v>0.04</v>
      </c>
      <c r="E251" s="510">
        <v>0.2</v>
      </c>
      <c r="F251" s="510">
        <v>90.24</v>
      </c>
      <c r="G251" s="510" t="s">
        <v>1111</v>
      </c>
    </row>
    <row r="252" spans="1:17" ht="15" thickBot="1" x14ac:dyDescent="0.4">
      <c r="A252" s="509" t="s">
        <v>1641</v>
      </c>
      <c r="B252" s="515">
        <v>10.199999999999999</v>
      </c>
      <c r="C252" s="510">
        <v>93.5</v>
      </c>
      <c r="D252" s="510">
        <v>0.02</v>
      </c>
      <c r="E252" s="510">
        <v>0.3</v>
      </c>
      <c r="F252" s="510">
        <v>93.82</v>
      </c>
      <c r="G252" s="510">
        <v>0.4</v>
      </c>
    </row>
    <row r="253" spans="1:17" ht="15" thickBot="1" x14ac:dyDescent="0.4">
      <c r="A253" s="509" t="s">
        <v>1245</v>
      </c>
      <c r="B253" s="515">
        <v>30</v>
      </c>
      <c r="C253" s="510">
        <v>91.8</v>
      </c>
      <c r="D253" s="510">
        <v>0.03</v>
      </c>
      <c r="E253" s="510">
        <v>0.2</v>
      </c>
      <c r="F253" s="510">
        <v>92.03</v>
      </c>
      <c r="G253" s="510">
        <v>6.4</v>
      </c>
    </row>
    <row r="254" spans="1:17" ht="15" thickBot="1" x14ac:dyDescent="0.4">
      <c r="A254" s="509" t="s">
        <v>1246</v>
      </c>
      <c r="B254" s="515">
        <v>22.1</v>
      </c>
      <c r="C254" s="510">
        <v>95</v>
      </c>
      <c r="D254" s="510">
        <v>0.08</v>
      </c>
      <c r="E254" s="510">
        <v>0.3</v>
      </c>
      <c r="F254" s="510">
        <v>95.38</v>
      </c>
      <c r="G254" s="510" t="s">
        <v>1111</v>
      </c>
    </row>
    <row r="255" spans="1:17" ht="15" thickBot="1" x14ac:dyDescent="0.4">
      <c r="A255" s="509" t="s">
        <v>1247</v>
      </c>
      <c r="B255" s="515">
        <v>27</v>
      </c>
      <c r="C255" s="510">
        <v>107</v>
      </c>
      <c r="D255" s="510">
        <v>0.03</v>
      </c>
      <c r="E255" s="510">
        <v>0.2</v>
      </c>
      <c r="F255" s="510">
        <v>107.23</v>
      </c>
      <c r="G255" s="510" t="s">
        <v>1111</v>
      </c>
    </row>
    <row r="256" spans="1:17" ht="15" thickBot="1" x14ac:dyDescent="0.4">
      <c r="A256" s="509" t="s">
        <v>1248</v>
      </c>
      <c r="B256" s="515">
        <v>37.5</v>
      </c>
      <c r="C256" s="510">
        <v>81.8</v>
      </c>
      <c r="D256" s="510">
        <v>0.03</v>
      </c>
      <c r="E256" s="510">
        <v>0.2</v>
      </c>
      <c r="F256" s="510">
        <v>82.03</v>
      </c>
      <c r="G256" s="510" t="s">
        <v>1111</v>
      </c>
    </row>
    <row r="257" spans="1:17" ht="29.5" thickBot="1" x14ac:dyDescent="0.4">
      <c r="A257" s="509" t="s">
        <v>1249</v>
      </c>
      <c r="B257" s="515">
        <v>22.1</v>
      </c>
      <c r="C257" s="510">
        <v>95</v>
      </c>
      <c r="D257" s="510">
        <v>0.08</v>
      </c>
      <c r="E257" s="510">
        <v>0.2</v>
      </c>
      <c r="F257" s="510">
        <v>95.28</v>
      </c>
      <c r="G257" s="510" t="s">
        <v>1111</v>
      </c>
    </row>
    <row r="258" spans="1:17" ht="44" thickBot="1" x14ac:dyDescent="0.4">
      <c r="A258" s="509" t="s">
        <v>1642</v>
      </c>
      <c r="B258" s="515">
        <v>26.3</v>
      </c>
      <c r="C258" s="510">
        <v>81.599999999999994</v>
      </c>
      <c r="D258" s="510">
        <v>0.03</v>
      </c>
      <c r="E258" s="510">
        <v>0.2</v>
      </c>
      <c r="F258" s="510">
        <v>81.83</v>
      </c>
      <c r="G258" s="510" t="s">
        <v>1111</v>
      </c>
    </row>
    <row r="259" spans="1:17" ht="29.5" thickBot="1" x14ac:dyDescent="0.4">
      <c r="A259" s="509" t="s">
        <v>1643</v>
      </c>
      <c r="B259" s="515">
        <v>32</v>
      </c>
      <c r="C259" s="510">
        <v>62.8</v>
      </c>
      <c r="D259" s="510">
        <v>0.03</v>
      </c>
      <c r="E259" s="510">
        <v>0.2</v>
      </c>
      <c r="F259" s="510">
        <v>63.03</v>
      </c>
      <c r="G259" s="510" t="s">
        <v>1111</v>
      </c>
    </row>
    <row r="260" spans="1:17" ht="29.5" thickBot="1" x14ac:dyDescent="0.4">
      <c r="A260" s="509" t="s">
        <v>1644</v>
      </c>
      <c r="B260" s="515">
        <v>27.1</v>
      </c>
      <c r="C260" s="510">
        <v>55.9</v>
      </c>
      <c r="D260" s="510">
        <v>0.03</v>
      </c>
      <c r="E260" s="510">
        <v>0.2</v>
      </c>
      <c r="F260" s="510">
        <v>56.13</v>
      </c>
      <c r="G260" s="510" t="s">
        <v>1111</v>
      </c>
    </row>
    <row r="261" spans="1:17" ht="29.5" thickBot="1" x14ac:dyDescent="0.4">
      <c r="A261" s="509" t="s">
        <v>1250</v>
      </c>
      <c r="B261" s="515">
        <v>10.5</v>
      </c>
      <c r="C261" s="510">
        <v>87.1</v>
      </c>
      <c r="D261" s="510">
        <v>0.8</v>
      </c>
      <c r="E261" s="510">
        <v>1</v>
      </c>
      <c r="F261" s="510">
        <v>88.9</v>
      </c>
      <c r="G261" s="510" t="s">
        <v>1111</v>
      </c>
    </row>
    <row r="262" spans="1:17" ht="15" thickBot="1" x14ac:dyDescent="0.4">
      <c r="A262" s="509" t="s">
        <v>1251</v>
      </c>
      <c r="B262" s="515">
        <v>16.2</v>
      </c>
      <c r="C262" s="510">
        <v>0</v>
      </c>
      <c r="D262" s="510">
        <v>0.1</v>
      </c>
      <c r="E262" s="510">
        <v>1.1000000000000001</v>
      </c>
      <c r="F262" s="510">
        <v>1.2</v>
      </c>
      <c r="G262" s="510" t="s">
        <v>1111</v>
      </c>
    </row>
    <row r="263" spans="1:17" ht="15" thickBot="1" x14ac:dyDescent="0.4">
      <c r="A263" s="534" t="s">
        <v>1252</v>
      </c>
      <c r="B263" s="535">
        <v>10.4</v>
      </c>
      <c r="C263" s="536">
        <v>0</v>
      </c>
      <c r="D263" s="536">
        <v>0.1</v>
      </c>
      <c r="E263" s="536">
        <v>1.1000000000000001</v>
      </c>
      <c r="F263" s="536">
        <v>1.2</v>
      </c>
      <c r="G263" s="536" t="s">
        <v>1111</v>
      </c>
    </row>
    <row r="264" spans="1:17" ht="15" thickBot="1" x14ac:dyDescent="0.4">
      <c r="A264" s="509" t="s">
        <v>1645</v>
      </c>
      <c r="B264" s="515">
        <v>12.4</v>
      </c>
      <c r="C264" s="510">
        <v>0</v>
      </c>
      <c r="D264" s="510">
        <v>0.08</v>
      </c>
      <c r="E264" s="510">
        <v>0.5</v>
      </c>
      <c r="F264" s="510">
        <v>0.57999999999999996</v>
      </c>
      <c r="G264" s="510" t="s">
        <v>1111</v>
      </c>
    </row>
    <row r="265" spans="1:17" ht="15" thickBot="1" x14ac:dyDescent="0.4">
      <c r="A265" s="509" t="s">
        <v>1253</v>
      </c>
      <c r="B265" s="515">
        <v>9.6</v>
      </c>
      <c r="C265" s="510">
        <v>0</v>
      </c>
      <c r="D265" s="510">
        <v>0.3</v>
      </c>
      <c r="E265" s="510">
        <v>1.1000000000000001</v>
      </c>
      <c r="F265" s="510">
        <v>1.4</v>
      </c>
      <c r="G265" s="510" t="s">
        <v>1111</v>
      </c>
    </row>
    <row r="266" spans="1:17" ht="44" thickBot="1" x14ac:dyDescent="0.4">
      <c r="A266" s="509" t="s">
        <v>1254</v>
      </c>
      <c r="B266" s="515">
        <v>12.2</v>
      </c>
      <c r="C266" s="510">
        <v>0</v>
      </c>
      <c r="D266" s="510">
        <v>0.8</v>
      </c>
      <c r="E266" s="510">
        <v>1</v>
      </c>
      <c r="F266" s="510">
        <v>1.8</v>
      </c>
      <c r="G266" s="510" t="s">
        <v>1111</v>
      </c>
    </row>
    <row r="267" spans="1:17" ht="15" thickBot="1" x14ac:dyDescent="0.4">
      <c r="A267" s="509" t="s">
        <v>1255</v>
      </c>
      <c r="B267" s="515">
        <v>31.1</v>
      </c>
      <c r="C267" s="510">
        <v>0</v>
      </c>
      <c r="D267" s="510">
        <v>5.3</v>
      </c>
      <c r="E267" s="510">
        <v>1</v>
      </c>
      <c r="F267" s="510">
        <v>6.3</v>
      </c>
      <c r="G267" s="510" t="s">
        <v>1111</v>
      </c>
    </row>
    <row r="268" spans="1:17" ht="29.5" thickBot="1" x14ac:dyDescent="0.4">
      <c r="A268" s="509" t="s">
        <v>1256</v>
      </c>
      <c r="B268" s="515">
        <v>12.2</v>
      </c>
      <c r="C268" s="510">
        <v>0</v>
      </c>
      <c r="D268" s="510">
        <v>0.8</v>
      </c>
      <c r="E268" s="510">
        <v>1</v>
      </c>
      <c r="F268" s="510">
        <v>1.8</v>
      </c>
      <c r="G268" s="510" t="s">
        <v>1111</v>
      </c>
    </row>
    <row r="269" spans="1:17" x14ac:dyDescent="0.35">
      <c r="A269" s="10"/>
    </row>
    <row r="270" spans="1:17" ht="23.5" x14ac:dyDescent="0.55000000000000004">
      <c r="A270" s="1651" t="s">
        <v>63</v>
      </c>
      <c r="B270" s="1652"/>
      <c r="C270" s="1652"/>
      <c r="D270" s="1652"/>
      <c r="E270" s="1652"/>
      <c r="F270" s="1652"/>
      <c r="G270" s="1652"/>
      <c r="H270" s="1652"/>
      <c r="I270" s="1652"/>
      <c r="J270" s="1652"/>
      <c r="K270" s="1652"/>
      <c r="L270" s="1652"/>
      <c r="M270" s="1652"/>
      <c r="N270" s="1652"/>
      <c r="O270" s="1652"/>
      <c r="P270" s="1652"/>
      <c r="Q270" s="1653"/>
    </row>
    <row r="272" spans="1:17" ht="31" x14ac:dyDescent="0.35">
      <c r="A272" s="255" t="s">
        <v>559</v>
      </c>
      <c r="B272" s="255" t="s">
        <v>560</v>
      </c>
      <c r="C272" s="285" t="s">
        <v>1724</v>
      </c>
    </row>
    <row r="273" spans="1:17" ht="15.5" x14ac:dyDescent="0.35">
      <c r="A273" s="258" t="s">
        <v>562</v>
      </c>
      <c r="B273" s="260" t="s">
        <v>1723</v>
      </c>
      <c r="C273" s="286">
        <v>4.58</v>
      </c>
    </row>
    <row r="274" spans="1:17" ht="15.5" x14ac:dyDescent="0.35">
      <c r="A274" s="258" t="s">
        <v>564</v>
      </c>
      <c r="B274" s="260" t="s">
        <v>1723</v>
      </c>
      <c r="C274" s="286">
        <v>2.75</v>
      </c>
    </row>
    <row r="275" spans="1:17" s="24" customFormat="1" ht="15.5" x14ac:dyDescent="0.35">
      <c r="A275"/>
      <c r="B275"/>
      <c r="C275"/>
      <c r="D275"/>
      <c r="E275"/>
      <c r="F275"/>
      <c r="G275"/>
      <c r="H275"/>
      <c r="I275"/>
      <c r="J275"/>
      <c r="K275"/>
      <c r="L275"/>
      <c r="M275"/>
      <c r="N275"/>
      <c r="O275"/>
      <c r="P275"/>
      <c r="Q275"/>
    </row>
    <row r="276" spans="1:17" s="24" customFormat="1" ht="15.5" x14ac:dyDescent="0.35">
      <c r="A276" s="250" t="s">
        <v>1435</v>
      </c>
      <c r="J276" s="259"/>
    </row>
    <row r="277" spans="1:17" s="24" customFormat="1" ht="15.5" x14ac:dyDescent="0.35">
      <c r="A277" s="246"/>
      <c r="J277" s="259"/>
    </row>
    <row r="278" spans="1:17" s="24" customFormat="1" ht="15.5" x14ac:dyDescent="0.35">
      <c r="A278" s="246"/>
      <c r="J278" s="259"/>
    </row>
    <row r="279" spans="1:17" s="24" customFormat="1" ht="15.5" x14ac:dyDescent="0.35">
      <c r="A279" s="246"/>
      <c r="J279" s="259"/>
    </row>
    <row r="280" spans="1:17" s="24" customFormat="1" ht="15.5" x14ac:dyDescent="0.35">
      <c r="A280" s="246"/>
      <c r="J280" s="259"/>
    </row>
    <row r="281" spans="1:17" s="24" customFormat="1" ht="15.5" x14ac:dyDescent="0.35">
      <c r="A281" s="246"/>
      <c r="J281" s="259"/>
    </row>
    <row r="282" spans="1:17" s="24" customFormat="1" ht="15.5" x14ac:dyDescent="0.35">
      <c r="A282" s="246"/>
      <c r="J282" s="259"/>
    </row>
    <row r="283" spans="1:17" s="24" customFormat="1" ht="15.5" x14ac:dyDescent="0.35">
      <c r="A283" s="246"/>
      <c r="J283" s="259"/>
    </row>
    <row r="284" spans="1:17" s="24" customFormat="1" ht="15.5" x14ac:dyDescent="0.35">
      <c r="A284" s="246"/>
      <c r="J284" s="259"/>
    </row>
    <row r="285" spans="1:17" s="24" customFormat="1" ht="15.5" x14ac:dyDescent="0.35">
      <c r="A285" s="246"/>
      <c r="J285" s="259"/>
    </row>
    <row r="286" spans="1:17" s="24" customFormat="1" ht="15.5" x14ac:dyDescent="0.35">
      <c r="A286" s="246"/>
      <c r="J286" s="259"/>
    </row>
    <row r="287" spans="1:17" s="24" customFormat="1" ht="15.5" x14ac:dyDescent="0.35">
      <c r="A287" s="246"/>
      <c r="J287" s="259"/>
    </row>
    <row r="288" spans="1:17" s="24" customFormat="1" ht="15.5" x14ac:dyDescent="0.35">
      <c r="A288" s="246"/>
      <c r="J288" s="259"/>
    </row>
    <row r="289" spans="1:10" s="24" customFormat="1" ht="15.5" x14ac:dyDescent="0.35">
      <c r="A289" s="246"/>
      <c r="J289" s="259"/>
    </row>
    <row r="290" spans="1:10" s="24" customFormat="1" ht="15.5" x14ac:dyDescent="0.35">
      <c r="A290" s="246"/>
      <c r="J290" s="259"/>
    </row>
    <row r="291" spans="1:10" s="24" customFormat="1" ht="15.5" x14ac:dyDescent="0.35">
      <c r="A291" s="246"/>
      <c r="J291" s="259"/>
    </row>
    <row r="292" spans="1:10" s="24" customFormat="1" ht="15.5" x14ac:dyDescent="0.35">
      <c r="A292" s="246"/>
      <c r="J292" s="259"/>
    </row>
    <row r="293" spans="1:10" s="24" customFormat="1" ht="15.5" x14ac:dyDescent="0.35">
      <c r="A293" s="246"/>
      <c r="J293" s="259"/>
    </row>
    <row r="294" spans="1:10" s="24" customFormat="1" ht="15.5" x14ac:dyDescent="0.35">
      <c r="A294" s="246"/>
      <c r="J294" s="259"/>
    </row>
    <row r="295" spans="1:10" s="24" customFormat="1" ht="15.5" x14ac:dyDescent="0.35">
      <c r="A295" s="246"/>
      <c r="J295" s="259"/>
    </row>
    <row r="296" spans="1:10" s="24" customFormat="1" ht="15.5" x14ac:dyDescent="0.35">
      <c r="A296" s="246"/>
      <c r="J296" s="259"/>
    </row>
    <row r="297" spans="1:10" s="24" customFormat="1" ht="15.5" x14ac:dyDescent="0.35">
      <c r="A297" s="246"/>
      <c r="J297" s="259"/>
    </row>
    <row r="298" spans="1:10" s="24" customFormat="1" ht="15.5" x14ac:dyDescent="0.35">
      <c r="A298" s="246"/>
      <c r="J298" s="259"/>
    </row>
    <row r="299" spans="1:10" s="24" customFormat="1" ht="15.5" x14ac:dyDescent="0.35">
      <c r="A299" s="246"/>
      <c r="J299" s="259"/>
    </row>
    <row r="300" spans="1:10" s="24" customFormat="1" ht="15.5" x14ac:dyDescent="0.35">
      <c r="A300" s="246"/>
      <c r="J300" s="259"/>
    </row>
    <row r="301" spans="1:10" s="24" customFormat="1" ht="15.5" x14ac:dyDescent="0.35">
      <c r="A301" s="246"/>
      <c r="J301" s="259"/>
    </row>
    <row r="302" spans="1:10" s="24" customFormat="1" ht="15.5" x14ac:dyDescent="0.35">
      <c r="A302" s="246"/>
      <c r="J302" s="259"/>
    </row>
    <row r="303" spans="1:10" s="24" customFormat="1" ht="15.5" x14ac:dyDescent="0.35">
      <c r="A303" s="246"/>
      <c r="J303" s="259"/>
    </row>
    <row r="304" spans="1:10" s="24" customFormat="1" ht="15.5" x14ac:dyDescent="0.35">
      <c r="A304" s="246"/>
      <c r="J304" s="259"/>
    </row>
    <row r="305" spans="1:17" s="24" customFormat="1" ht="15.5" x14ac:dyDescent="0.35">
      <c r="A305" s="246"/>
      <c r="J305" s="259"/>
    </row>
    <row r="306" spans="1:17" s="24" customFormat="1" ht="15.5" x14ac:dyDescent="0.35">
      <c r="A306" s="246"/>
      <c r="J306" s="259"/>
    </row>
    <row r="307" spans="1:17" s="24" customFormat="1" ht="15.5" x14ac:dyDescent="0.35">
      <c r="A307" s="246"/>
      <c r="J307" s="259"/>
    </row>
    <row r="308" spans="1:17" s="24" customFormat="1" ht="15.5" x14ac:dyDescent="0.35">
      <c r="A308" s="246"/>
      <c r="J308" s="259"/>
    </row>
    <row r="309" spans="1:17" s="24" customFormat="1" ht="15.5" x14ac:dyDescent="0.35">
      <c r="A309" s="246"/>
      <c r="J309" s="259"/>
    </row>
    <row r="310" spans="1:17" s="24" customFormat="1" ht="15.5" x14ac:dyDescent="0.35">
      <c r="A310" s="246"/>
      <c r="J310" s="259"/>
    </row>
    <row r="311" spans="1:17" s="24" customFormat="1" ht="15.5" x14ac:dyDescent="0.35">
      <c r="A311" s="246"/>
      <c r="J311" s="259"/>
    </row>
    <row r="312" spans="1:17" s="24" customFormat="1" ht="15.5" x14ac:dyDescent="0.35">
      <c r="A312" s="246"/>
      <c r="J312" s="259"/>
    </row>
    <row r="313" spans="1:17" s="24" customFormat="1" ht="15.5" x14ac:dyDescent="0.35">
      <c r="A313" s="246"/>
      <c r="J313" s="259"/>
    </row>
    <row r="314" spans="1:17" s="24" customFormat="1" ht="15.5" x14ac:dyDescent="0.35">
      <c r="A314" s="246"/>
      <c r="J314" s="259"/>
    </row>
    <row r="315" spans="1:17" s="24" customFormat="1" ht="15.5" x14ac:dyDescent="0.35">
      <c r="A315" s="246"/>
      <c r="J315" s="259"/>
    </row>
    <row r="316" spans="1:17" ht="15.5" x14ac:dyDescent="0.35">
      <c r="A316" s="246"/>
      <c r="B316" s="24"/>
      <c r="C316" s="24"/>
      <c r="D316" s="24"/>
      <c r="E316" s="24"/>
      <c r="F316" s="24"/>
      <c r="G316" s="24"/>
      <c r="H316" s="24"/>
      <c r="I316" s="24"/>
      <c r="J316" s="259"/>
      <c r="K316" s="24"/>
      <c r="L316" s="24"/>
      <c r="M316" s="24"/>
      <c r="N316" s="24"/>
      <c r="O316" s="24"/>
      <c r="P316" s="24"/>
      <c r="Q316" s="24"/>
    </row>
    <row r="317" spans="1:17" ht="23.5" x14ac:dyDescent="0.55000000000000004">
      <c r="A317" s="1651" t="s">
        <v>66</v>
      </c>
      <c r="B317" s="1652"/>
      <c r="C317" s="1652"/>
      <c r="D317" s="1652"/>
      <c r="E317" s="1652"/>
      <c r="F317" s="1652"/>
      <c r="G317" s="1652"/>
      <c r="H317" s="1652"/>
      <c r="I317" s="1652"/>
      <c r="J317" s="1652"/>
      <c r="K317" s="1652"/>
      <c r="L317" s="1652"/>
      <c r="M317" s="1652"/>
      <c r="N317" s="1652"/>
      <c r="O317" s="1652"/>
      <c r="P317" s="1652"/>
      <c r="Q317" s="1653"/>
    </row>
    <row r="318" spans="1:17" ht="42" customHeight="1" thickBot="1" x14ac:dyDescent="0.4">
      <c r="A318" s="508" t="s">
        <v>1673</v>
      </c>
    </row>
    <row r="319" spans="1:17" x14ac:dyDescent="0.35">
      <c r="A319" s="1770" t="s">
        <v>1674</v>
      </c>
      <c r="B319" s="539" t="s">
        <v>1675</v>
      </c>
      <c r="C319" s="539" t="s">
        <v>1675</v>
      </c>
      <c r="D319" s="539" t="s">
        <v>1676</v>
      </c>
      <c r="E319" s="539" t="s">
        <v>1676</v>
      </c>
    </row>
    <row r="320" spans="1:17" ht="17" thickBot="1" x14ac:dyDescent="0.4">
      <c r="A320" s="1771"/>
      <c r="B320" s="540" t="s">
        <v>1677</v>
      </c>
      <c r="C320" s="540" t="s">
        <v>1678</v>
      </c>
      <c r="D320" s="540" t="s">
        <v>1677</v>
      </c>
      <c r="E320" s="540" t="s">
        <v>1678</v>
      </c>
    </row>
    <row r="321" spans="1:5" ht="29.5" thickBot="1" x14ac:dyDescent="0.4">
      <c r="A321" s="606" t="s">
        <v>1679</v>
      </c>
      <c r="B321" s="607">
        <v>0.68</v>
      </c>
      <c r="C321" s="607">
        <v>188</v>
      </c>
      <c r="D321" s="607">
        <v>0.05</v>
      </c>
      <c r="E321" s="607">
        <v>15</v>
      </c>
    </row>
    <row r="322" spans="1:5" ht="15" thickBot="1" x14ac:dyDescent="0.4">
      <c r="A322" s="606" t="s">
        <v>582</v>
      </c>
      <c r="B322" s="607">
        <v>0.79</v>
      </c>
      <c r="C322" s="607">
        <v>220</v>
      </c>
      <c r="D322" s="607">
        <v>7.0000000000000007E-2</v>
      </c>
      <c r="E322" s="607">
        <v>18</v>
      </c>
    </row>
    <row r="323" spans="1:5" ht="15" thickBot="1" x14ac:dyDescent="0.4">
      <c r="A323" s="606" t="s">
        <v>583</v>
      </c>
      <c r="B323" s="607">
        <v>0.73</v>
      </c>
      <c r="C323" s="607">
        <v>204</v>
      </c>
      <c r="D323" s="607">
        <v>0.15</v>
      </c>
      <c r="E323" s="607">
        <v>42</v>
      </c>
    </row>
    <row r="324" spans="1:5" ht="15" thickBot="1" x14ac:dyDescent="0.4">
      <c r="A324" s="606" t="s">
        <v>584</v>
      </c>
      <c r="B324" s="607">
        <v>0.25</v>
      </c>
      <c r="C324" s="607">
        <v>71</v>
      </c>
      <c r="D324" s="607">
        <v>0.08</v>
      </c>
      <c r="E324" s="607">
        <v>21</v>
      </c>
    </row>
    <row r="325" spans="1:5" x14ac:dyDescent="0.35">
      <c r="A325" s="608" t="s">
        <v>1680</v>
      </c>
      <c r="B325" s="1795">
        <v>0.53</v>
      </c>
      <c r="C325" s="1795">
        <v>147</v>
      </c>
      <c r="D325" s="1795">
        <v>0.04</v>
      </c>
      <c r="E325" s="1795">
        <v>11</v>
      </c>
    </row>
    <row r="326" spans="1:5" ht="29.5" thickBot="1" x14ac:dyDescent="0.4">
      <c r="A326" s="609" t="s">
        <v>1681</v>
      </c>
      <c r="B326" s="1796"/>
      <c r="C326" s="1796"/>
      <c r="D326" s="1796"/>
      <c r="E326" s="1796"/>
    </row>
    <row r="327" spans="1:5" ht="29.5" thickBot="1" x14ac:dyDescent="0.4">
      <c r="A327" s="609" t="s">
        <v>1682</v>
      </c>
      <c r="B327" s="607">
        <v>0.62</v>
      </c>
      <c r="C327" s="607">
        <v>173</v>
      </c>
      <c r="D327" s="607">
        <v>7.0000000000000007E-2</v>
      </c>
      <c r="E327" s="607">
        <v>20</v>
      </c>
    </row>
    <row r="328" spans="1:5" ht="15" thickBot="1" x14ac:dyDescent="0.4">
      <c r="A328" s="606" t="s">
        <v>588</v>
      </c>
      <c r="B328" s="607">
        <v>0.12</v>
      </c>
      <c r="C328" s="607">
        <v>32</v>
      </c>
      <c r="D328" s="607">
        <v>0.01</v>
      </c>
      <c r="E328" s="607">
        <v>2</v>
      </c>
    </row>
    <row r="329" spans="1:5" x14ac:dyDescent="0.35">
      <c r="A329" s="610" t="s">
        <v>1683</v>
      </c>
      <c r="B329" s="1795">
        <v>0.54</v>
      </c>
      <c r="C329" s="1795">
        <v>149</v>
      </c>
      <c r="D329" s="1795">
        <v>7.0000000000000007E-2</v>
      </c>
      <c r="E329" s="1795">
        <v>19</v>
      </c>
    </row>
    <row r="330" spans="1:5" ht="29.5" thickBot="1" x14ac:dyDescent="0.4">
      <c r="A330" s="609" t="s">
        <v>1684</v>
      </c>
      <c r="B330" s="1796"/>
      <c r="C330" s="1796"/>
      <c r="D330" s="1796"/>
      <c r="E330" s="1796"/>
    </row>
    <row r="331" spans="1:5" ht="15" thickBot="1" x14ac:dyDescent="0.4">
      <c r="A331" s="609" t="s">
        <v>1685</v>
      </c>
      <c r="B331" s="607">
        <v>0.65</v>
      </c>
      <c r="C331" s="607">
        <v>179</v>
      </c>
      <c r="D331" s="607">
        <v>0.08</v>
      </c>
      <c r="E331" s="607">
        <v>23</v>
      </c>
    </row>
    <row r="332" spans="1:5" x14ac:dyDescent="0.35">
      <c r="A332" s="522"/>
      <c r="B332" s="523"/>
      <c r="C332" s="523"/>
      <c r="D332" s="523"/>
      <c r="E332" s="523"/>
    </row>
    <row r="333" spans="1:5" ht="15" thickBot="1" x14ac:dyDescent="0.4">
      <c r="A333" s="508" t="s">
        <v>1686</v>
      </c>
    </row>
    <row r="334" spans="1:5" x14ac:dyDescent="0.35">
      <c r="A334" s="1770" t="s">
        <v>1687</v>
      </c>
      <c r="B334" s="539" t="s">
        <v>1675</v>
      </c>
      <c r="C334" s="539" t="s">
        <v>1675</v>
      </c>
      <c r="D334" s="539" t="s">
        <v>1676</v>
      </c>
      <c r="E334" s="539" t="s">
        <v>1676</v>
      </c>
    </row>
    <row r="335" spans="1:5" ht="17" thickBot="1" x14ac:dyDescent="0.4">
      <c r="A335" s="1771"/>
      <c r="B335" s="540" t="s">
        <v>1677</v>
      </c>
      <c r="C335" s="540" t="s">
        <v>1678</v>
      </c>
      <c r="D335" s="540" t="s">
        <v>1677</v>
      </c>
      <c r="E335" s="540" t="s">
        <v>1678</v>
      </c>
    </row>
    <row r="336" spans="1:5" ht="15" thickBot="1" x14ac:dyDescent="0.4">
      <c r="A336" s="509" t="s">
        <v>1688</v>
      </c>
      <c r="B336" s="519">
        <v>0.81</v>
      </c>
      <c r="C336" s="519">
        <v>226</v>
      </c>
      <c r="D336" s="519">
        <v>0.1</v>
      </c>
      <c r="E336" s="519">
        <v>29</v>
      </c>
    </row>
    <row r="337" spans="1:5" x14ac:dyDescent="0.35">
      <c r="A337" s="522"/>
      <c r="B337" s="523"/>
      <c r="C337" s="523"/>
      <c r="D337" s="523"/>
      <c r="E337" s="523"/>
    </row>
    <row r="338" spans="1:5" ht="15" thickBot="1" x14ac:dyDescent="0.4">
      <c r="A338" s="508" t="s">
        <v>1689</v>
      </c>
    </row>
    <row r="339" spans="1:5" x14ac:dyDescent="0.35">
      <c r="A339" s="1770" t="s">
        <v>1260</v>
      </c>
      <c r="B339" s="539" t="s">
        <v>1060</v>
      </c>
    </row>
    <row r="340" spans="1:5" ht="17" thickBot="1" x14ac:dyDescent="0.4">
      <c r="A340" s="1771"/>
      <c r="B340" s="540" t="s">
        <v>1677</v>
      </c>
    </row>
    <row r="341" spans="1:5" ht="15" thickBot="1" x14ac:dyDescent="0.4">
      <c r="A341" s="509" t="s">
        <v>1261</v>
      </c>
      <c r="B341" s="519">
        <v>0.66</v>
      </c>
    </row>
    <row r="342" spans="1:5" x14ac:dyDescent="0.35">
      <c r="A342" s="520" t="s">
        <v>1690</v>
      </c>
      <c r="B342" s="1772">
        <v>0.53</v>
      </c>
    </row>
    <row r="343" spans="1:5" ht="29.5" thickBot="1" x14ac:dyDescent="0.4">
      <c r="A343" s="509" t="s">
        <v>1681</v>
      </c>
      <c r="B343" s="1773"/>
    </row>
    <row r="344" spans="1:5" x14ac:dyDescent="0.35">
      <c r="A344" s="521" t="s">
        <v>1683</v>
      </c>
      <c r="B344" s="1772">
        <v>0.54</v>
      </c>
    </row>
    <row r="345" spans="1:5" ht="29.5" thickBot="1" x14ac:dyDescent="0.4">
      <c r="A345" s="509" t="s">
        <v>1691</v>
      </c>
      <c r="B345" s="1773"/>
    </row>
    <row r="346" spans="1:5" ht="29.5" thickBot="1" x14ac:dyDescent="0.4">
      <c r="A346" s="509" t="s">
        <v>1682</v>
      </c>
      <c r="B346" s="519">
        <v>0.62</v>
      </c>
    </row>
    <row r="347" spans="1:5" ht="15" thickBot="1" x14ac:dyDescent="0.4">
      <c r="A347" s="509" t="s">
        <v>1262</v>
      </c>
      <c r="B347" s="519">
        <v>0.63</v>
      </c>
    </row>
    <row r="349" spans="1:5" ht="30" x14ac:dyDescent="0.35">
      <c r="A349" s="284" t="s">
        <v>1263</v>
      </c>
    </row>
    <row r="351" spans="1:5" x14ac:dyDescent="0.35">
      <c r="A351" s="245" t="s">
        <v>1078</v>
      </c>
      <c r="B351" s="275"/>
      <c r="C351" s="275"/>
    </row>
    <row r="353" spans="1:22" ht="23.5" x14ac:dyDescent="0.55000000000000004">
      <c r="A353" s="1651" t="s">
        <v>121</v>
      </c>
      <c r="B353" s="1652"/>
      <c r="C353" s="1652"/>
      <c r="D353" s="1652"/>
      <c r="E353" s="1652"/>
      <c r="F353" s="1652"/>
      <c r="G353" s="1652"/>
      <c r="H353" s="1652"/>
      <c r="I353" s="1652"/>
      <c r="J353" s="1652"/>
      <c r="K353" s="1652"/>
      <c r="L353" s="1652"/>
      <c r="M353" s="1652"/>
      <c r="N353" s="1652"/>
      <c r="O353" s="1652"/>
      <c r="P353" s="1652"/>
      <c r="Q353" s="1653"/>
    </row>
    <row r="354" spans="1:22" ht="23.25" customHeight="1" x14ac:dyDescent="0.35"/>
    <row r="355" spans="1:22" ht="15" customHeight="1" x14ac:dyDescent="0.35">
      <c r="A355" s="1760" t="s">
        <v>1713</v>
      </c>
      <c r="B355" s="1760"/>
      <c r="C355" s="1760"/>
      <c r="D355" s="1760"/>
      <c r="E355" s="1760"/>
      <c r="F355" s="1760"/>
      <c r="G355" s="1760"/>
      <c r="H355" s="1760"/>
    </row>
    <row r="356" spans="1:22" x14ac:dyDescent="0.35">
      <c r="A356" s="1761"/>
      <c r="B356" s="1761"/>
      <c r="C356" s="1761"/>
      <c r="D356" s="1761"/>
      <c r="E356" s="1761"/>
      <c r="F356" s="1761"/>
      <c r="G356" s="1761"/>
      <c r="H356" s="1761"/>
    </row>
    <row r="357" spans="1:22" x14ac:dyDescent="0.35">
      <c r="A357" s="1619" t="s">
        <v>1264</v>
      </c>
      <c r="B357" s="1620"/>
      <c r="C357" s="1620"/>
      <c r="D357" s="1620"/>
      <c r="E357" s="1620"/>
      <c r="F357" s="1620"/>
      <c r="G357" s="1620"/>
      <c r="H357" s="1620"/>
      <c r="I357" s="1620"/>
      <c r="J357" s="1620"/>
      <c r="K357" s="1620"/>
      <c r="L357" s="1620"/>
      <c r="M357" s="1620"/>
      <c r="N357" s="1621"/>
    </row>
    <row r="358" spans="1:22" ht="18.75" customHeight="1" x14ac:dyDescent="0.35">
      <c r="A358" s="1622" t="s">
        <v>1265</v>
      </c>
      <c r="B358" s="1623"/>
      <c r="C358" s="165" t="s">
        <v>1157</v>
      </c>
      <c r="D358" s="166" t="s">
        <v>1266</v>
      </c>
      <c r="E358" s="167" t="s">
        <v>1267</v>
      </c>
      <c r="F358" s="167" t="s">
        <v>1268</v>
      </c>
      <c r="G358" s="167" t="s">
        <v>1269</v>
      </c>
      <c r="H358" s="165" t="s">
        <v>1270</v>
      </c>
      <c r="I358" s="1623" t="s">
        <v>1271</v>
      </c>
      <c r="J358" s="1623"/>
      <c r="K358" s="1623"/>
      <c r="L358" s="1623"/>
      <c r="M358" s="1623"/>
      <c r="N358" s="1752"/>
    </row>
    <row r="359" spans="1:22" ht="16.5" customHeight="1" x14ac:dyDescent="0.35">
      <c r="A359" s="8" t="s">
        <v>1272</v>
      </c>
      <c r="B359" s="39" t="s">
        <v>1272</v>
      </c>
      <c r="C359" s="168" t="s">
        <v>1714</v>
      </c>
      <c r="D359" s="169">
        <v>0.10499999999999998</v>
      </c>
      <c r="E359" s="170">
        <v>0.10321771875918379</v>
      </c>
      <c r="F359" s="171">
        <v>1.3794746445945858E-4</v>
      </c>
      <c r="G359" s="170">
        <v>1.644333776356746E-3</v>
      </c>
      <c r="H359" s="172"/>
      <c r="I359" s="1753" t="s">
        <v>1273</v>
      </c>
      <c r="J359" s="1753"/>
      <c r="K359" s="1753"/>
      <c r="L359" s="1753"/>
      <c r="M359" s="1753"/>
      <c r="N359" s="1754"/>
    </row>
    <row r="360" spans="1:22" x14ac:dyDescent="0.35">
      <c r="A360" s="8" t="s">
        <v>1274</v>
      </c>
      <c r="B360" s="39" t="s">
        <v>1274</v>
      </c>
      <c r="C360" s="168" t="s">
        <v>1714</v>
      </c>
      <c r="D360" s="169">
        <v>0.38999999999999996</v>
      </c>
      <c r="E360" s="170">
        <v>0.38338009824839692</v>
      </c>
      <c r="F360" s="171">
        <v>5.1237629656370332E-4</v>
      </c>
      <c r="G360" s="170">
        <v>6.1075254550393429E-3</v>
      </c>
      <c r="H360" s="172"/>
      <c r="I360" s="1753" t="s">
        <v>1275</v>
      </c>
      <c r="J360" s="1753"/>
      <c r="K360" s="1753"/>
      <c r="L360" s="1753"/>
      <c r="M360" s="1753"/>
      <c r="N360" s="1754"/>
      <c r="R360" s="160"/>
    </row>
    <row r="361" spans="1:22" x14ac:dyDescent="0.35">
      <c r="A361" s="8" t="s">
        <v>1276</v>
      </c>
      <c r="B361" s="39" t="s">
        <v>1276</v>
      </c>
      <c r="C361" s="168" t="s">
        <v>1714</v>
      </c>
      <c r="D361" s="169">
        <v>0.13499999999999998</v>
      </c>
      <c r="E361" s="170">
        <v>0.13270849554752201</v>
      </c>
      <c r="F361" s="171">
        <v>1.7736102573358961E-4</v>
      </c>
      <c r="G361" s="170">
        <v>2.1141434267443878E-3</v>
      </c>
      <c r="H361" s="172"/>
      <c r="I361" s="1753" t="s">
        <v>1277</v>
      </c>
      <c r="J361" s="1753"/>
      <c r="K361" s="1753"/>
      <c r="L361" s="1753"/>
      <c r="M361" s="1753"/>
      <c r="N361" s="1754"/>
    </row>
    <row r="363" spans="1:22" x14ac:dyDescent="0.35">
      <c r="A363" s="1619" t="s">
        <v>1278</v>
      </c>
      <c r="B363" s="1620"/>
      <c r="C363" s="1620"/>
      <c r="D363" s="1620"/>
      <c r="E363" s="1620"/>
      <c r="F363" s="1620"/>
      <c r="G363" s="1620"/>
      <c r="H363" s="1620"/>
      <c r="I363" s="1620"/>
      <c r="J363" s="1620"/>
      <c r="K363" s="1620"/>
      <c r="L363" s="1620"/>
      <c r="M363" s="1620"/>
      <c r="N363" s="1620"/>
      <c r="O363" s="173"/>
    </row>
    <row r="364" spans="1:22" ht="24" customHeight="1" x14ac:dyDescent="0.35">
      <c r="A364" s="1740"/>
      <c r="B364" s="1741"/>
      <c r="C364" s="1741"/>
      <c r="D364" s="1742" t="s">
        <v>1279</v>
      </c>
      <c r="E364" s="1742"/>
      <c r="F364" s="1742"/>
      <c r="G364" s="1742"/>
      <c r="H364" s="1742" t="s">
        <v>1280</v>
      </c>
      <c r="I364" s="1742"/>
      <c r="J364" s="1742"/>
      <c r="K364" s="1742"/>
      <c r="L364" s="1742" t="s">
        <v>1281</v>
      </c>
      <c r="M364" s="1742"/>
      <c r="N364" s="1742"/>
      <c r="O364" s="1762"/>
      <c r="R364" s="174"/>
      <c r="S364" s="174"/>
    </row>
    <row r="365" spans="1:22" ht="15" customHeight="1" x14ac:dyDescent="0.35">
      <c r="A365" s="1622" t="s">
        <v>1265</v>
      </c>
      <c r="B365" s="1623"/>
      <c r="C365" s="165" t="s">
        <v>1157</v>
      </c>
      <c r="D365" s="166" t="s">
        <v>1266</v>
      </c>
      <c r="E365" s="167" t="s">
        <v>1267</v>
      </c>
      <c r="F365" s="167" t="s">
        <v>1268</v>
      </c>
      <c r="G365" s="167" t="s">
        <v>1269</v>
      </c>
      <c r="H365" s="166" t="s">
        <v>1266</v>
      </c>
      <c r="I365" s="167" t="s">
        <v>1267</v>
      </c>
      <c r="J365" s="167" t="s">
        <v>1268</v>
      </c>
      <c r="K365" s="167" t="s">
        <v>1269</v>
      </c>
      <c r="L365" s="166" t="s">
        <v>1266</v>
      </c>
      <c r="M365" s="167" t="s">
        <v>1267</v>
      </c>
      <c r="N365" s="167" t="s">
        <v>1268</v>
      </c>
      <c r="O365" s="167" t="s">
        <v>1269</v>
      </c>
      <c r="Q365" s="174"/>
      <c r="R365" s="177"/>
      <c r="S365" s="177"/>
      <c r="T365" s="160"/>
      <c r="U365" s="160"/>
      <c r="V365" s="160"/>
    </row>
    <row r="366" spans="1:22" ht="15" customHeight="1" x14ac:dyDescent="0.35">
      <c r="A366" s="1618" t="s">
        <v>48</v>
      </c>
      <c r="B366" s="168" t="s">
        <v>1282</v>
      </c>
      <c r="C366" s="168" t="s">
        <v>1283</v>
      </c>
      <c r="D366" s="169">
        <v>0.2066628155465243</v>
      </c>
      <c r="E366" s="170">
        <v>0.19761314215060102</v>
      </c>
      <c r="F366" s="170">
        <v>2.3265754289924327E-3</v>
      </c>
      <c r="G366" s="170">
        <v>6.7230979669308617E-3</v>
      </c>
      <c r="H366" s="169">
        <v>0.19485305564163172</v>
      </c>
      <c r="I366" s="170">
        <v>0.18632052641477878</v>
      </c>
      <c r="J366" s="170">
        <v>2.1936231262554284E-3</v>
      </c>
      <c r="K366" s="170">
        <v>6.3389061005975061E-3</v>
      </c>
      <c r="L366" s="169">
        <v>0.18406067340854881</v>
      </c>
      <c r="M366" s="170">
        <v>0.17527400722888747</v>
      </c>
      <c r="N366" s="175">
        <v>2.0635682127304882E-3</v>
      </c>
      <c r="O366" s="176">
        <v>6.7230979669308617E-3</v>
      </c>
      <c r="Q366" s="177"/>
      <c r="R366" s="177"/>
      <c r="S366" s="177"/>
      <c r="T366" s="160"/>
      <c r="U366" s="160"/>
      <c r="V366" s="160"/>
    </row>
    <row r="367" spans="1:22" x14ac:dyDescent="0.35">
      <c r="A367" s="1618"/>
      <c r="B367" s="168" t="s">
        <v>1284</v>
      </c>
      <c r="C367" s="168" t="s">
        <v>1283</v>
      </c>
      <c r="D367" s="169">
        <v>0.22190419819308019</v>
      </c>
      <c r="E367" s="170">
        <v>0.21218711138420757</v>
      </c>
      <c r="F367" s="170">
        <v>2.4981603668806211E-3</v>
      </c>
      <c r="G367" s="170">
        <v>7.2189264419920025E-3</v>
      </c>
      <c r="H367" s="169">
        <v>0.2092234684952019</v>
      </c>
      <c r="I367" s="170">
        <v>0.20006166523786859</v>
      </c>
      <c r="J367" s="170">
        <v>2.3554028318167651E-3</v>
      </c>
      <c r="K367" s="170">
        <v>6.8064004255165679E-3</v>
      </c>
      <c r="L367" s="169">
        <v>0.19763514807242924</v>
      </c>
      <c r="M367" s="170">
        <v>0.18820046526201786</v>
      </c>
      <c r="N367" s="175">
        <v>2.2157563684193611E-3</v>
      </c>
      <c r="O367" s="176">
        <v>7.2189264419920025E-3</v>
      </c>
      <c r="Q367" s="177"/>
      <c r="R367" s="177"/>
      <c r="S367" s="177"/>
      <c r="T367" s="160"/>
      <c r="U367" s="160"/>
      <c r="V367" s="160"/>
    </row>
    <row r="368" spans="1:22" x14ac:dyDescent="0.35">
      <c r="A368" s="1618"/>
      <c r="B368" s="168" t="s">
        <v>1285</v>
      </c>
      <c r="C368" s="168" t="s">
        <v>1283</v>
      </c>
      <c r="D368" s="169">
        <v>0.2994027540230273</v>
      </c>
      <c r="E368" s="170">
        <v>0.2862920396906834</v>
      </c>
      <c r="F368" s="170">
        <v>3.3706261527527885E-3</v>
      </c>
      <c r="G368" s="170">
        <v>9.7400881795910894E-3</v>
      </c>
      <c r="H368" s="169">
        <v>0.28229336436081415</v>
      </c>
      <c r="I368" s="170">
        <v>0.2699318626434109</v>
      </c>
      <c r="J368" s="170">
        <v>3.1780115041625543E-3</v>
      </c>
      <c r="K368" s="170">
        <v>9.1834902132406429E-3</v>
      </c>
      <c r="L368" s="169">
        <v>0.2666579006006351</v>
      </c>
      <c r="M368" s="170">
        <v>0.2539282179728507</v>
      </c>
      <c r="N368" s="175">
        <v>2.989594448193294E-3</v>
      </c>
      <c r="O368" s="176">
        <v>9.7400881795910894E-3</v>
      </c>
      <c r="Q368" s="177"/>
      <c r="R368" s="177"/>
      <c r="S368" s="177"/>
      <c r="T368" s="160"/>
      <c r="U368" s="160"/>
      <c r="V368" s="160"/>
    </row>
    <row r="369" spans="1:22" x14ac:dyDescent="0.35">
      <c r="A369" s="1618"/>
      <c r="B369" s="168" t="s">
        <v>1286</v>
      </c>
      <c r="C369" s="168" t="s">
        <v>1283</v>
      </c>
      <c r="D369" s="169">
        <v>0.31671076482504879</v>
      </c>
      <c r="E369" s="170">
        <v>0.30284214034579632</v>
      </c>
      <c r="F369" s="170">
        <v>3.5654768449309062E-3</v>
      </c>
      <c r="G369" s="170">
        <v>1.0303147634321554E-2</v>
      </c>
      <c r="H369" s="169">
        <v>0.29861230777080094</v>
      </c>
      <c r="I369" s="170">
        <v>0.28553620673064878</v>
      </c>
      <c r="J369" s="170">
        <v>3.361727440986448E-3</v>
      </c>
      <c r="K369" s="170">
        <v>9.7143735991656877E-3</v>
      </c>
      <c r="L369" s="169">
        <v>0.28207298199860104</v>
      </c>
      <c r="M369" s="170">
        <v>0.26860741607826999</v>
      </c>
      <c r="N369" s="175">
        <v>3.1624182860094719E-3</v>
      </c>
      <c r="O369" s="176">
        <v>1.0303147634321554E-2</v>
      </c>
      <c r="Q369" s="177"/>
      <c r="R369" s="177"/>
      <c r="S369" s="177"/>
      <c r="T369" s="160"/>
      <c r="U369" s="160"/>
      <c r="V369" s="160"/>
    </row>
    <row r="370" spans="1:22" x14ac:dyDescent="0.35">
      <c r="A370" s="1618"/>
      <c r="B370" s="168" t="s">
        <v>1287</v>
      </c>
      <c r="C370" s="168" t="s">
        <v>1283</v>
      </c>
      <c r="D370" s="169">
        <v>0.36165992720641754</v>
      </c>
      <c r="E370" s="170">
        <v>0.34582299876355177</v>
      </c>
      <c r="F370" s="170">
        <v>4.0715070007367564E-3</v>
      </c>
      <c r="G370" s="170">
        <v>1.1765421442129005E-2</v>
      </c>
      <c r="H370" s="169">
        <v>0.34099284737285551</v>
      </c>
      <c r="I370" s="170">
        <v>0.32606092122586289</v>
      </c>
      <c r="J370" s="170">
        <v>3.8388404709470002E-3</v>
      </c>
      <c r="K370" s="170">
        <v>1.1093085676045635E-2</v>
      </c>
      <c r="L370" s="169">
        <v>0.32210617846496031</v>
      </c>
      <c r="M370" s="170">
        <v>0.30672951265055298</v>
      </c>
      <c r="N370" s="175">
        <v>3.6112443722783531E-3</v>
      </c>
      <c r="O370" s="176">
        <v>1.1765421442129005E-2</v>
      </c>
      <c r="Q370" s="177"/>
      <c r="R370" s="177"/>
      <c r="S370" s="177"/>
      <c r="T370" s="160"/>
      <c r="U370" s="160"/>
      <c r="V370" s="160"/>
    </row>
    <row r="371" spans="1:22" x14ac:dyDescent="0.35">
      <c r="A371" s="1618" t="s">
        <v>1288</v>
      </c>
      <c r="B371" s="168" t="s">
        <v>1282</v>
      </c>
      <c r="C371" s="168" t="s">
        <v>1283</v>
      </c>
      <c r="D371" s="169">
        <v>0.21549870217003167</v>
      </c>
      <c r="E371" s="170">
        <v>0.21184080412909945</v>
      </c>
      <c r="F371" s="171">
        <v>2.8311904341580857E-4</v>
      </c>
      <c r="G371" s="171">
        <v>3.3747789975164377E-3</v>
      </c>
      <c r="H371" s="169">
        <v>0.19856781479305941</v>
      </c>
      <c r="I371" s="170">
        <v>0.19519730344700667</v>
      </c>
      <c r="J371" s="171">
        <v>2.6087549118055157E-4</v>
      </c>
      <c r="K371" s="170">
        <v>3.1096358548721747E-3</v>
      </c>
      <c r="L371" s="169">
        <v>0.18861837546244112</v>
      </c>
      <c r="M371" s="170">
        <v>0.18541674696472743</v>
      </c>
      <c r="N371" s="178">
        <v>2.478040632905325E-4</v>
      </c>
      <c r="O371" s="179">
        <v>2.9538244344231471E-3</v>
      </c>
      <c r="Q371" s="177"/>
      <c r="R371" s="177"/>
      <c r="S371" s="177"/>
      <c r="T371" s="160"/>
      <c r="U371" s="160"/>
      <c r="V371" s="160"/>
    </row>
    <row r="372" spans="1:22" x14ac:dyDescent="0.35">
      <c r="A372" s="1618"/>
      <c r="B372" s="168" t="s">
        <v>1284</v>
      </c>
      <c r="C372" s="168" t="s">
        <v>1283</v>
      </c>
      <c r="D372" s="169">
        <v>0.20737737309871754</v>
      </c>
      <c r="E372" s="170">
        <v>0.20385732736687384</v>
      </c>
      <c r="F372" s="171">
        <v>2.7244936004982114E-4</v>
      </c>
      <c r="G372" s="171">
        <v>3.2475963717938676E-3</v>
      </c>
      <c r="H372" s="169">
        <v>0.19108454667744051</v>
      </c>
      <c r="I372" s="170">
        <v>0.1878410571255065</v>
      </c>
      <c r="J372" s="171">
        <v>2.5104408296702839E-4</v>
      </c>
      <c r="K372" s="170">
        <v>2.9924454689669784E-3</v>
      </c>
      <c r="L372" s="169">
        <v>0.18151006399419567</v>
      </c>
      <c r="M372" s="170">
        <v>0.17842909273632707</v>
      </c>
      <c r="N372" s="178">
        <v>2.3846526763688915E-4</v>
      </c>
      <c r="O372" s="179">
        <v>2.8425059902317186E-3</v>
      </c>
      <c r="Q372" s="177"/>
      <c r="R372" s="177"/>
      <c r="S372" s="177"/>
      <c r="T372" s="160"/>
      <c r="U372" s="160"/>
      <c r="V372" s="160"/>
    </row>
    <row r="373" spans="1:22" x14ac:dyDescent="0.35">
      <c r="A373" s="1618"/>
      <c r="B373" s="168" t="s">
        <v>1285</v>
      </c>
      <c r="C373" s="168" t="s">
        <v>1283</v>
      </c>
      <c r="D373" s="169">
        <v>0.27606467058665257</v>
      </c>
      <c r="E373" s="170">
        <v>0.27137871931390306</v>
      </c>
      <c r="F373" s="171">
        <v>3.6268972699299426E-4</v>
      </c>
      <c r="G373" s="171">
        <v>4.3232615457564913E-3</v>
      </c>
      <c r="H373" s="169">
        <v>0.25437535274205714</v>
      </c>
      <c r="I373" s="170">
        <v>0.25005755827236026</v>
      </c>
      <c r="J373" s="171">
        <v>3.3419461839759215E-4</v>
      </c>
      <c r="K373" s="170">
        <v>3.9835998512992975E-3</v>
      </c>
      <c r="L373" s="169">
        <v>0.24162962080181635</v>
      </c>
      <c r="M373" s="170">
        <v>0.23752817375057245</v>
      </c>
      <c r="N373" s="178">
        <v>3.1744946217058113E-4</v>
      </c>
      <c r="O373" s="179">
        <v>3.7839975890733269E-3</v>
      </c>
      <c r="Q373" s="177"/>
      <c r="R373" s="177"/>
      <c r="S373" s="177"/>
      <c r="T373" s="160"/>
      <c r="U373" s="160"/>
      <c r="V373" s="160"/>
    </row>
    <row r="374" spans="1:22" ht="15" customHeight="1" x14ac:dyDescent="0.35">
      <c r="A374" s="1618"/>
      <c r="B374" s="168" t="s">
        <v>1286</v>
      </c>
      <c r="C374" s="168" t="s">
        <v>1283</v>
      </c>
      <c r="D374" s="169">
        <v>0.29601224640896162</v>
      </c>
      <c r="E374" s="170">
        <v>0.29098770284870873</v>
      </c>
      <c r="F374" s="171">
        <v>3.888965603910927E-4</v>
      </c>
      <c r="G374" s="171">
        <v>4.6356469998618246E-3</v>
      </c>
      <c r="H374" s="169">
        <v>0.27275572580959212</v>
      </c>
      <c r="I374" s="170">
        <v>0.2681259409197288</v>
      </c>
      <c r="J374" s="171">
        <v>3.5834248373554798E-4</v>
      </c>
      <c r="K374" s="170">
        <v>4.2714424061277316E-3</v>
      </c>
      <c r="L374" s="169">
        <v>0.25908902685916274</v>
      </c>
      <c r="M374" s="170">
        <v>0.25469122198037786</v>
      </c>
      <c r="N374" s="178">
        <v>3.4038737451895295E-4</v>
      </c>
      <c r="O374" s="179">
        <v>4.0574175042659187E-3</v>
      </c>
      <c r="Q374" s="177"/>
      <c r="R374" s="177"/>
      <c r="S374" s="177"/>
      <c r="T374" s="160"/>
      <c r="U374" s="160"/>
      <c r="V374" s="160"/>
    </row>
    <row r="375" spans="1:22" ht="15" customHeight="1" x14ac:dyDescent="0.35">
      <c r="A375" s="1618"/>
      <c r="B375" s="168" t="s">
        <v>1287</v>
      </c>
      <c r="C375" s="168" t="s">
        <v>1283</v>
      </c>
      <c r="D375" s="169">
        <v>0.29973750130428573</v>
      </c>
      <c r="E375" s="170">
        <v>0.29464972486863095</v>
      </c>
      <c r="F375" s="171">
        <v>3.9379074579371312E-4</v>
      </c>
      <c r="G375" s="171">
        <v>4.6939856898610601E-3</v>
      </c>
      <c r="H375" s="169">
        <v>0.27618830204630657</v>
      </c>
      <c r="I375" s="170">
        <v>0.27150025223992552</v>
      </c>
      <c r="J375" s="171">
        <v>3.6285215219667707E-4</v>
      </c>
      <c r="K375" s="170">
        <v>4.3251976541843901E-3</v>
      </c>
      <c r="L375" s="169">
        <v>0.26234961042400129</v>
      </c>
      <c r="M375" s="170">
        <v>0.25789646005072381</v>
      </c>
      <c r="N375" s="178">
        <v>3.4467108152302591E-4</v>
      </c>
      <c r="O375" s="179">
        <v>4.1084792917544686E-3</v>
      </c>
      <c r="Q375" s="177"/>
      <c r="R375" s="177"/>
      <c r="S375" s="177"/>
      <c r="T375" s="160"/>
      <c r="U375" s="160"/>
      <c r="V375" s="160"/>
    </row>
    <row r="376" spans="1:22" ht="15" customHeight="1" x14ac:dyDescent="0.35">
      <c r="A376" s="1618" t="s">
        <v>904</v>
      </c>
      <c r="B376" s="168" t="s">
        <v>1282</v>
      </c>
      <c r="C376" s="168" t="s">
        <v>1283</v>
      </c>
      <c r="D376" s="169">
        <v>0.16315485437883509</v>
      </c>
      <c r="E376" s="170">
        <v>0.15601037538205353</v>
      </c>
      <c r="F376" s="170">
        <v>1.836770075520343E-3</v>
      </c>
      <c r="G376" s="170">
        <v>5.3077089212612101E-3</v>
      </c>
      <c r="H376" s="169">
        <v>0.153730110216866</v>
      </c>
      <c r="I376" s="170">
        <v>0.14699833660339398</v>
      </c>
      <c r="J376" s="170">
        <v>1.7306678813070794E-3</v>
      </c>
      <c r="K376" s="170">
        <v>5.0011057321649429E-3</v>
      </c>
      <c r="L376" s="169">
        <v>0.1439105870354902</v>
      </c>
      <c r="M376" s="170">
        <v>0.1376088060041871</v>
      </c>
      <c r="N376" s="175">
        <v>1.6201213308897043E-3</v>
      </c>
      <c r="O376" s="176">
        <v>4.6816597004134004E-3</v>
      </c>
      <c r="Q376" s="177"/>
      <c r="R376" s="177"/>
      <c r="S376" s="177"/>
      <c r="T376" s="160"/>
      <c r="U376" s="160"/>
      <c r="V376" s="160"/>
    </row>
    <row r="377" spans="1:22" ht="15" customHeight="1" x14ac:dyDescent="0.35">
      <c r="A377" s="1618"/>
      <c r="B377" s="168" t="s">
        <v>1284</v>
      </c>
      <c r="C377" s="168" t="s">
        <v>1283</v>
      </c>
      <c r="D377" s="169">
        <v>0.17518752488927414</v>
      </c>
      <c r="E377" s="170">
        <v>0.16751614056647995</v>
      </c>
      <c r="F377" s="170">
        <v>1.9722318685899678E-3</v>
      </c>
      <c r="G377" s="170">
        <v>5.6991524542042227E-3</v>
      </c>
      <c r="H377" s="169">
        <v>0.16506770584535985</v>
      </c>
      <c r="I377" s="170">
        <v>0.15783946392789425</v>
      </c>
      <c r="J377" s="170">
        <v>1.858304637553476E-3</v>
      </c>
      <c r="K377" s="170">
        <v>5.3699372799121056E-3</v>
      </c>
      <c r="L377" s="169">
        <v>0.15452399282935758</v>
      </c>
      <c r="M377" s="170">
        <v>0.14775745544699587</v>
      </c>
      <c r="N377" s="175">
        <v>1.7396052790428199E-3</v>
      </c>
      <c r="O377" s="176">
        <v>5.0269321033188886E-3</v>
      </c>
      <c r="Q377" s="177"/>
      <c r="R377" s="177"/>
      <c r="S377" s="177"/>
      <c r="T377" s="160"/>
      <c r="U377" s="160"/>
      <c r="V377" s="160"/>
    </row>
    <row r="378" spans="1:22" ht="15" customHeight="1" x14ac:dyDescent="0.35">
      <c r="A378" s="1618"/>
      <c r="B378" s="168" t="s">
        <v>1285</v>
      </c>
      <c r="C378" s="168" t="s">
        <v>1283</v>
      </c>
      <c r="D378" s="169">
        <v>0.23637059528133703</v>
      </c>
      <c r="E378" s="170">
        <v>0.22602003133474977</v>
      </c>
      <c r="F378" s="170">
        <v>2.6610206469100933E-3</v>
      </c>
      <c r="G378" s="170">
        <v>7.6895432996771668E-3</v>
      </c>
      <c r="H378" s="169">
        <v>0.22271649717668435</v>
      </c>
      <c r="I378" s="170">
        <v>0.21296384015416678</v>
      </c>
      <c r="J378" s="170">
        <v>2.5073050930436284E-3</v>
      </c>
      <c r="K378" s="170">
        <v>7.2453519294739524E-3</v>
      </c>
      <c r="L378" s="169">
        <v>0.20849046296766649</v>
      </c>
      <c r="M378" s="170">
        <v>0.19936075769856609</v>
      </c>
      <c r="N378" s="175">
        <v>2.3471507781264596E-3</v>
      </c>
      <c r="O378" s="176">
        <v>6.7825544909739157E-3</v>
      </c>
      <c r="Q378" s="177"/>
      <c r="R378" s="177"/>
      <c r="S378" s="177"/>
      <c r="T378" s="160"/>
      <c r="U378" s="160"/>
      <c r="V378" s="160"/>
    </row>
    <row r="379" spans="1:22" ht="15" customHeight="1" x14ac:dyDescent="0.35">
      <c r="A379" s="1618"/>
      <c r="B379" s="168" t="s">
        <v>1286</v>
      </c>
      <c r="C379" s="168" t="s">
        <v>1283</v>
      </c>
      <c r="D379" s="169">
        <v>0.2500348143355649</v>
      </c>
      <c r="E379" s="170">
        <v>0.23908590027299714</v>
      </c>
      <c r="F379" s="170">
        <v>2.8148501407349266E-3</v>
      </c>
      <c r="G379" s="170">
        <v>8.1340639218328067E-3</v>
      </c>
      <c r="H379" s="169">
        <v>0.23559139390734724</v>
      </c>
      <c r="I379" s="170">
        <v>0.22527495084470134</v>
      </c>
      <c r="J379" s="170">
        <v>2.6522485281031002E-3</v>
      </c>
      <c r="K379" s="170">
        <v>7.6641945345427773E-3</v>
      </c>
      <c r="L379" s="169">
        <v>0.22054297463188879</v>
      </c>
      <c r="M379" s="170">
        <v>0.21088549520141678</v>
      </c>
      <c r="N379" s="175">
        <v>2.4828359395884722E-3</v>
      </c>
      <c r="O379" s="176">
        <v>7.1746434908835383E-3</v>
      </c>
      <c r="Q379" s="177"/>
      <c r="R379" s="177"/>
      <c r="S379" s="177"/>
      <c r="T379" s="160"/>
      <c r="U379" s="160"/>
      <c r="V379" s="160"/>
    </row>
    <row r="380" spans="1:22" ht="15" customHeight="1" x14ac:dyDescent="0.35">
      <c r="A380" s="1618"/>
      <c r="B380" s="168" t="s">
        <v>1287</v>
      </c>
      <c r="C380" s="168" t="s">
        <v>1283</v>
      </c>
      <c r="D380" s="169">
        <v>0.28552099516296076</v>
      </c>
      <c r="E380" s="170">
        <v>0.27301815691859305</v>
      </c>
      <c r="F380" s="170">
        <v>3.2143476321605923E-3</v>
      </c>
      <c r="G380" s="170">
        <v>9.288490612207094E-3</v>
      </c>
      <c r="H380" s="169">
        <v>0.269027692879515</v>
      </c>
      <c r="I380" s="170">
        <v>0.25724708905593902</v>
      </c>
      <c r="J380" s="170">
        <v>3.0286687922873833E-3</v>
      </c>
      <c r="K380" s="170">
        <v>8.7519350312886338E-3</v>
      </c>
      <c r="L380" s="169">
        <v>0.25184352731210791</v>
      </c>
      <c r="M380" s="170">
        <v>0.24081541050732747</v>
      </c>
      <c r="N380" s="175">
        <v>2.8352123290569832E-3</v>
      </c>
      <c r="O380" s="176">
        <v>8.1929044757234528E-3</v>
      </c>
      <c r="Q380" s="177"/>
      <c r="R380" s="177"/>
      <c r="S380" s="177"/>
      <c r="T380" s="160"/>
      <c r="U380" s="160"/>
      <c r="V380" s="160"/>
    </row>
    <row r="381" spans="1:22" ht="15" customHeight="1" x14ac:dyDescent="0.35">
      <c r="A381" s="1618" t="s">
        <v>1289</v>
      </c>
      <c r="B381" s="168" t="s">
        <v>1282</v>
      </c>
      <c r="C381" s="168" t="s">
        <v>1283</v>
      </c>
      <c r="D381" s="169">
        <v>0.1931791937309929</v>
      </c>
      <c r="E381" s="170">
        <v>0.18990014941572864</v>
      </c>
      <c r="F381" s="171">
        <v>2.5379599963345725E-4</v>
      </c>
      <c r="G381" s="170">
        <v>3.02524831563081E-3</v>
      </c>
      <c r="H381" s="169">
        <v>0.17807109537691646</v>
      </c>
      <c r="I381" s="170">
        <v>0.17504849754051768</v>
      </c>
      <c r="J381" s="171">
        <v>2.3394720095965758E-4</v>
      </c>
      <c r="K381" s="170">
        <v>2.7886506354391181E-3</v>
      </c>
      <c r="L381" s="169">
        <v>0.16963692117299406</v>
      </c>
      <c r="M381" s="170">
        <v>0.16675748591245648</v>
      </c>
      <c r="N381" s="175">
        <v>2.2286650623355787E-4</v>
      </c>
      <c r="O381" s="176">
        <v>2.6565687543040097E-3</v>
      </c>
      <c r="Q381" s="177"/>
      <c r="R381" s="177"/>
      <c r="S381" s="177"/>
      <c r="T381" s="160"/>
      <c r="U381" s="160"/>
      <c r="V381" s="160"/>
    </row>
    <row r="382" spans="1:22" ht="15" customHeight="1" x14ac:dyDescent="0.35">
      <c r="A382" s="1618"/>
      <c r="B382" s="168" t="s">
        <v>1284</v>
      </c>
      <c r="C382" s="168" t="s">
        <v>1283</v>
      </c>
      <c r="D382" s="169">
        <v>0.18589900231349341</v>
      </c>
      <c r="E382" s="170">
        <v>0.18274353274673352</v>
      </c>
      <c r="F382" s="171">
        <v>2.442313906160899E-4</v>
      </c>
      <c r="G382" s="170">
        <v>2.9112381761437918E-3</v>
      </c>
      <c r="H382" s="169">
        <v>0.17136027090752237</v>
      </c>
      <c r="I382" s="170">
        <v>0.16845158332409704</v>
      </c>
      <c r="J382" s="171">
        <v>2.2513061791217751E-4</v>
      </c>
      <c r="K382" s="170">
        <v>2.6835569655131557E-3</v>
      </c>
      <c r="L382" s="169">
        <v>0.16324394875312523</v>
      </c>
      <c r="M382" s="170">
        <v>0.16047302849084469</v>
      </c>
      <c r="N382" s="175">
        <v>2.1446751256041355E-4</v>
      </c>
      <c r="O382" s="176">
        <v>2.5564527497201292E-3</v>
      </c>
      <c r="Q382" s="177"/>
      <c r="R382" s="177"/>
      <c r="S382" s="177"/>
      <c r="T382" s="160"/>
      <c r="U382" s="160"/>
      <c r="V382" s="160"/>
    </row>
    <row r="383" spans="1:22" ht="15" customHeight="1" x14ac:dyDescent="0.35">
      <c r="A383" s="1618"/>
      <c r="B383" s="168" t="s">
        <v>1285</v>
      </c>
      <c r="C383" s="168" t="s">
        <v>1283</v>
      </c>
      <c r="D383" s="169">
        <v>0.24747225827589273</v>
      </c>
      <c r="E383" s="170">
        <v>0.243271637670678</v>
      </c>
      <c r="F383" s="171">
        <v>3.2512543384014919E-4</v>
      </c>
      <c r="G383" s="170">
        <v>3.8754951713745782E-3</v>
      </c>
      <c r="H383" s="169">
        <v>0.22811802480112203</v>
      </c>
      <c r="I383" s="170">
        <v>0.22424592502688312</v>
      </c>
      <c r="J383" s="171">
        <v>2.9969812494109213E-4</v>
      </c>
      <c r="K383" s="170">
        <v>3.5724016492978184E-3</v>
      </c>
      <c r="L383" s="169">
        <v>0.21731342366046516</v>
      </c>
      <c r="M383" s="170">
        <v>0.21362472234267857</v>
      </c>
      <c r="N383" s="175">
        <v>2.8550319797109795E-4</v>
      </c>
      <c r="O383" s="176">
        <v>3.4031981198154875E-3</v>
      </c>
      <c r="Q383" s="177"/>
      <c r="R383" s="177"/>
      <c r="S383" s="177"/>
      <c r="T383" s="160"/>
      <c r="U383" s="160"/>
      <c r="V383" s="160"/>
    </row>
    <row r="384" spans="1:22" ht="15" customHeight="1" x14ac:dyDescent="0.35">
      <c r="A384" s="1618"/>
      <c r="B384" s="168" t="s">
        <v>1286</v>
      </c>
      <c r="C384" s="168" t="s">
        <v>1283</v>
      </c>
      <c r="D384" s="169">
        <v>0.26535383517374728</v>
      </c>
      <c r="E384" s="170">
        <v>0.26084969076794917</v>
      </c>
      <c r="F384" s="171">
        <v>3.4861798806487185E-4</v>
      </c>
      <c r="G384" s="170">
        <v>4.1555264177332721E-3</v>
      </c>
      <c r="H384" s="169">
        <v>0.24460112488953839</v>
      </c>
      <c r="I384" s="170">
        <v>0.24044923920979394</v>
      </c>
      <c r="J384" s="171">
        <v>3.2135338078517322E-4</v>
      </c>
      <c r="K384" s="170">
        <v>3.8305322989592647E-3</v>
      </c>
      <c r="L384" s="169">
        <v>0.23301581682240358</v>
      </c>
      <c r="M384" s="170">
        <v>0.2290605814020604</v>
      </c>
      <c r="N384" s="175">
        <v>3.0613277247238318E-4</v>
      </c>
      <c r="O384" s="176">
        <v>3.6491026478708069E-3</v>
      </c>
      <c r="Q384" s="177"/>
      <c r="R384" s="177"/>
      <c r="S384" s="177"/>
      <c r="T384" s="160"/>
      <c r="U384" s="160"/>
      <c r="V384" s="160"/>
    </row>
    <row r="385" spans="1:22" ht="15" customHeight="1" x14ac:dyDescent="0.35">
      <c r="A385" s="1618"/>
      <c r="B385" s="168" t="s">
        <v>1287</v>
      </c>
      <c r="C385" s="168" t="s">
        <v>1283</v>
      </c>
      <c r="D385" s="169">
        <v>0.26869326009777056</v>
      </c>
      <c r="E385" s="170">
        <v>0.2641324319358086</v>
      </c>
      <c r="F385" s="171">
        <v>3.5300527569365013E-4</v>
      </c>
      <c r="G385" s="170">
        <v>4.2078228862683096E-3</v>
      </c>
      <c r="H385" s="169">
        <v>0.24767938110680926</v>
      </c>
      <c r="I385" s="170">
        <v>0.24347524477648894</v>
      </c>
      <c r="J385" s="171">
        <v>3.2539754878640255E-4</v>
      </c>
      <c r="K385" s="170">
        <v>3.8787387815339184E-3</v>
      </c>
      <c r="L385" s="169">
        <v>0.23594827425562231</v>
      </c>
      <c r="M385" s="170">
        <v>0.2319432629888723</v>
      </c>
      <c r="N385" s="175">
        <v>3.0998539216331471E-4</v>
      </c>
      <c r="O385" s="176">
        <v>3.6950258745867114E-3</v>
      </c>
      <c r="Q385" s="177"/>
      <c r="R385" s="177"/>
      <c r="S385" s="177"/>
      <c r="T385" s="160"/>
      <c r="U385" s="160"/>
      <c r="V385" s="160"/>
    </row>
    <row r="386" spans="1:22" ht="15" customHeight="1" x14ac:dyDescent="0.35">
      <c r="A386" s="1618" t="s">
        <v>1290</v>
      </c>
      <c r="B386" s="168" t="s">
        <v>1282</v>
      </c>
      <c r="C386" s="168" t="s">
        <v>1283</v>
      </c>
      <c r="D386" s="180"/>
      <c r="E386" s="181"/>
      <c r="F386" s="181"/>
      <c r="G386" s="182"/>
      <c r="H386" s="169">
        <v>8.0452091013493085E-2</v>
      </c>
      <c r="I386" s="170">
        <v>7.6929129489109391E-2</v>
      </c>
      <c r="J386" s="170">
        <v>9.0571619121737016E-4</v>
      </c>
      <c r="K386" s="170">
        <v>2.617245333166316E-3</v>
      </c>
      <c r="L386" s="169">
        <v>7.5313207215239847E-2</v>
      </c>
      <c r="M386" s="170">
        <v>7.2015275142191221E-2</v>
      </c>
      <c r="N386" s="175">
        <v>8.4786349649894495E-4</v>
      </c>
      <c r="O386" s="176">
        <v>2.4500685765496788E-3</v>
      </c>
      <c r="R386" s="177"/>
      <c r="S386" s="177"/>
      <c r="T386" s="160"/>
      <c r="U386" s="160"/>
      <c r="V386" s="160"/>
    </row>
    <row r="387" spans="1:22" ht="15" customHeight="1" x14ac:dyDescent="0.35">
      <c r="A387" s="1618"/>
      <c r="B387" s="168" t="s">
        <v>1284</v>
      </c>
      <c r="C387" s="168" t="s">
        <v>1283</v>
      </c>
      <c r="D387" s="183"/>
      <c r="E387" s="184"/>
      <c r="F387" s="184"/>
      <c r="G387" s="185"/>
      <c r="H387" s="169">
        <v>8.6385432725738273E-2</v>
      </c>
      <c r="I387" s="170">
        <v>8.2602652788931294E-2</v>
      </c>
      <c r="J387" s="170">
        <v>9.725127603196521E-4</v>
      </c>
      <c r="K387" s="170">
        <v>2.8102671764873347E-3</v>
      </c>
      <c r="L387" s="169">
        <v>8.0867556247363803E-2</v>
      </c>
      <c r="M387" s="170">
        <v>7.7326401683927834E-2</v>
      </c>
      <c r="N387" s="175">
        <v>9.1039342936574219E-4</v>
      </c>
      <c r="O387" s="176">
        <v>2.6307611340702177E-3</v>
      </c>
      <c r="R387" s="177"/>
      <c r="S387" s="177"/>
      <c r="T387" s="160"/>
      <c r="U387" s="160"/>
      <c r="V387" s="160"/>
    </row>
    <row r="388" spans="1:22" ht="15" customHeight="1" x14ac:dyDescent="0.35">
      <c r="A388" s="1618"/>
      <c r="B388" s="168" t="s">
        <v>1285</v>
      </c>
      <c r="C388" s="168" t="s">
        <v>1283</v>
      </c>
      <c r="D388" s="183"/>
      <c r="E388" s="184"/>
      <c r="F388" s="184"/>
      <c r="G388" s="185"/>
      <c r="H388" s="169">
        <v>0.11655496685579812</v>
      </c>
      <c r="I388" s="170">
        <v>0.11145107634734726</v>
      </c>
      <c r="J388" s="170">
        <v>1.3121563320261651E-3</v>
      </c>
      <c r="K388" s="170">
        <v>3.791734176424701E-3</v>
      </c>
      <c r="L388" s="169">
        <v>0.10911000895307874</v>
      </c>
      <c r="M388" s="170">
        <v>0.10433212986224955</v>
      </c>
      <c r="N388" s="175">
        <v>1.2283422405528466E-3</v>
      </c>
      <c r="O388" s="176">
        <v>3.5495368502763479E-3</v>
      </c>
      <c r="R388" s="177"/>
      <c r="S388" s="177"/>
      <c r="T388" s="160"/>
      <c r="U388" s="160"/>
      <c r="V388" s="160"/>
    </row>
    <row r="389" spans="1:22" ht="15" customHeight="1" x14ac:dyDescent="0.35">
      <c r="A389" s="1618"/>
      <c r="B389" s="168" t="s">
        <v>1286</v>
      </c>
      <c r="C389" s="168" t="s">
        <v>1283</v>
      </c>
      <c r="D389" s="183"/>
      <c r="E389" s="184"/>
      <c r="F389" s="184"/>
      <c r="G389" s="185"/>
      <c r="H389" s="169">
        <v>0.12329282947817809</v>
      </c>
      <c r="I389" s="170">
        <v>0.11789389094206008</v>
      </c>
      <c r="J389" s="170">
        <v>1.3880100630406188E-3</v>
      </c>
      <c r="K389" s="170">
        <v>4.0109284730773772E-3</v>
      </c>
      <c r="L389" s="169">
        <v>0.11541749005735506</v>
      </c>
      <c r="M389" s="170">
        <v>0.11036340915540806</v>
      </c>
      <c r="N389" s="175">
        <v>1.2993508083846332E-3</v>
      </c>
      <c r="O389" s="176">
        <v>3.7547300935623831E-3</v>
      </c>
      <c r="R389" s="177"/>
      <c r="S389" s="177"/>
      <c r="T389" s="160"/>
      <c r="U389" s="160"/>
      <c r="V389" s="160"/>
    </row>
    <row r="390" spans="1:22" ht="15" customHeight="1" x14ac:dyDescent="0.35">
      <c r="A390" s="1618"/>
      <c r="B390" s="168" t="s">
        <v>1287</v>
      </c>
      <c r="C390" s="168" t="s">
        <v>1283</v>
      </c>
      <c r="D390" s="183"/>
      <c r="E390" s="184"/>
      <c r="F390" s="184"/>
      <c r="G390" s="185"/>
      <c r="H390" s="169">
        <v>0.14079115927361294</v>
      </c>
      <c r="I390" s="170">
        <v>0.13462597660594147</v>
      </c>
      <c r="J390" s="170">
        <v>1.585003334630398E-3</v>
      </c>
      <c r="K390" s="170">
        <v>4.5801793330410541E-3</v>
      </c>
      <c r="L390" s="169">
        <v>0.13179811262666977</v>
      </c>
      <c r="M390" s="170">
        <v>0.12602673149883467</v>
      </c>
      <c r="N390" s="175">
        <v>1.4837611188731538E-3</v>
      </c>
      <c r="O390" s="176">
        <v>4.2876200089619386E-3</v>
      </c>
      <c r="R390" s="177"/>
      <c r="S390" s="177"/>
      <c r="T390" s="160"/>
      <c r="U390" s="160"/>
      <c r="V390" s="160"/>
    </row>
    <row r="391" spans="1:22" ht="15" customHeight="1" x14ac:dyDescent="0.35">
      <c r="A391" s="1618" t="s">
        <v>1291</v>
      </c>
      <c r="B391" s="168" t="s">
        <v>1282</v>
      </c>
      <c r="C391" s="168" t="s">
        <v>1283</v>
      </c>
      <c r="D391" s="183"/>
      <c r="E391" s="184"/>
      <c r="F391" s="184"/>
      <c r="G391" s="185"/>
      <c r="H391" s="169">
        <v>1.0229673272060924E-2</v>
      </c>
      <c r="I391" s="170">
        <v>9.824573636693262E-3</v>
      </c>
      <c r="J391" s="170">
        <v>3.9106258064998227E-4</v>
      </c>
      <c r="K391" s="186">
        <v>1.4037054717680188E-5</v>
      </c>
      <c r="L391" s="169">
        <v>9.9000728954892498E-3</v>
      </c>
      <c r="M391" s="170">
        <v>9.5080255824016059E-3</v>
      </c>
      <c r="N391" s="178">
        <v>3.7846253268976457E-4</v>
      </c>
      <c r="O391" s="187">
        <v>1.3584780397879506E-5</v>
      </c>
      <c r="R391" s="177"/>
      <c r="S391" s="177"/>
      <c r="T391" s="160"/>
      <c r="U391" s="160"/>
      <c r="V391" s="160"/>
    </row>
    <row r="392" spans="1:22" ht="15" customHeight="1" x14ac:dyDescent="0.35">
      <c r="A392" s="1618"/>
      <c r="B392" s="168" t="s">
        <v>1284</v>
      </c>
      <c r="C392" s="168" t="s">
        <v>1283</v>
      </c>
      <c r="D392" s="183"/>
      <c r="E392" s="184"/>
      <c r="F392" s="184"/>
      <c r="G392" s="185"/>
      <c r="H392" s="169">
        <v>1.0984111675875404E-2</v>
      </c>
      <c r="I392" s="170">
        <v>1.0549135942399377E-2</v>
      </c>
      <c r="J392" s="170">
        <v>4.1990344597291795E-4</v>
      </c>
      <c r="K392" s="186">
        <v>1.5072287503109084E-5</v>
      </c>
      <c r="L392" s="169">
        <v>1.0630203271531587E-2</v>
      </c>
      <c r="M392" s="170">
        <v>1.0209242469103728E-2</v>
      </c>
      <c r="N392" s="178">
        <v>4.0637414447563483E-4</v>
      </c>
      <c r="O392" s="187">
        <v>1.4586657952223124E-5</v>
      </c>
      <c r="R392" s="177"/>
      <c r="S392" s="177"/>
      <c r="T392" s="160"/>
      <c r="U392" s="160"/>
      <c r="V392" s="160"/>
    </row>
    <row r="393" spans="1:22" ht="15" customHeight="1" x14ac:dyDescent="0.35">
      <c r="A393" s="1618"/>
      <c r="B393" s="168" t="s">
        <v>1285</v>
      </c>
      <c r="C393" s="168" t="s">
        <v>1283</v>
      </c>
      <c r="D393" s="183"/>
      <c r="E393" s="184"/>
      <c r="F393" s="184"/>
      <c r="G393" s="185"/>
      <c r="H393" s="169">
        <v>1.2427230352705217E-2</v>
      </c>
      <c r="I393" s="170">
        <v>1.1935106474393255E-2</v>
      </c>
      <c r="J393" s="170">
        <v>4.7507135788332023E-4</v>
      </c>
      <c r="K393" s="186">
        <v>1.705252042864075E-5</v>
      </c>
      <c r="L393" s="169">
        <v>1.2026824621743953E-2</v>
      </c>
      <c r="M393" s="170">
        <v>1.1550556989403655E-2</v>
      </c>
      <c r="N393" s="178">
        <v>4.5976454462620366E-4</v>
      </c>
      <c r="O393" s="187">
        <v>1.6503087714095838E-5</v>
      </c>
      <c r="R393" s="177"/>
      <c r="S393" s="177"/>
      <c r="T393" s="160"/>
      <c r="U393" s="160"/>
      <c r="V393" s="160"/>
    </row>
    <row r="394" spans="1:22" ht="15" customHeight="1" x14ac:dyDescent="0.35">
      <c r="A394" s="1618"/>
      <c r="B394" s="168" t="s">
        <v>1286</v>
      </c>
      <c r="C394" s="168" t="s">
        <v>1283</v>
      </c>
      <c r="D394" s="183"/>
      <c r="E394" s="184"/>
      <c r="F394" s="184"/>
      <c r="G394" s="185"/>
      <c r="H394" s="169">
        <v>1.5305748835024793E-2</v>
      </c>
      <c r="I394" s="170">
        <v>1.4699634337797219E-2</v>
      </c>
      <c r="J394" s="170">
        <v>5.8511210270544489E-4</v>
      </c>
      <c r="K394" s="186">
        <v>2.1002394522130076E-5</v>
      </c>
      <c r="L394" s="169">
        <v>1.4812597153092435E-2</v>
      </c>
      <c r="M394" s="170">
        <v>1.4226011682962662E-2</v>
      </c>
      <c r="N394" s="178">
        <v>5.6625977338276121E-4</v>
      </c>
      <c r="O394" s="187">
        <v>2.0325696747010821E-5</v>
      </c>
      <c r="R394" s="177"/>
      <c r="S394" s="177"/>
      <c r="T394" s="160"/>
      <c r="U394" s="160"/>
      <c r="V394" s="160"/>
    </row>
    <row r="395" spans="1:22" ht="15" customHeight="1" x14ac:dyDescent="0.35">
      <c r="A395" s="1618"/>
      <c r="B395" s="168" t="s">
        <v>1287</v>
      </c>
      <c r="C395" s="168" t="s">
        <v>1283</v>
      </c>
      <c r="D395" s="183"/>
      <c r="E395" s="184"/>
      <c r="F395" s="184"/>
      <c r="G395" s="185"/>
      <c r="H395" s="169">
        <v>1.7891477766790769E-2</v>
      </c>
      <c r="I395" s="170">
        <v>1.7182967247758776E-2</v>
      </c>
      <c r="J395" s="170">
        <v>6.8396001329115665E-4</v>
      </c>
      <c r="K395" s="186">
        <v>2.4550505740835241E-5</v>
      </c>
      <c r="L395" s="169">
        <v>1.7315013821899806E-2</v>
      </c>
      <c r="M395" s="170">
        <v>1.6629331532828563E-2</v>
      </c>
      <c r="N395" s="178">
        <v>6.619228013543465E-4</v>
      </c>
      <c r="O395" s="187">
        <v>2.3759487716896536E-5</v>
      </c>
      <c r="R395" s="177"/>
      <c r="S395" s="177"/>
      <c r="T395" s="160"/>
      <c r="U395" s="160"/>
      <c r="V395" s="160"/>
    </row>
    <row r="396" spans="1:22" ht="15" customHeight="1" x14ac:dyDescent="0.35">
      <c r="A396" s="1618" t="s">
        <v>1292</v>
      </c>
      <c r="B396" s="168" t="s">
        <v>1282</v>
      </c>
      <c r="C396" s="168" t="s">
        <v>1283</v>
      </c>
      <c r="D396" s="183"/>
      <c r="E396" s="184"/>
      <c r="F396" s="184"/>
      <c r="G396" s="185"/>
      <c r="H396" s="169">
        <v>9.3190539913919651E-2</v>
      </c>
      <c r="I396" s="170">
        <v>9.1608713712870965E-2</v>
      </c>
      <c r="J396" s="171">
        <v>1.2243236850222085E-4</v>
      </c>
      <c r="K396" s="171">
        <v>1.4593938325464725E-3</v>
      </c>
      <c r="L396" s="169">
        <v>8.8776655413866881E-2</v>
      </c>
      <c r="M396" s="170">
        <v>8.7269750960852224E-2</v>
      </c>
      <c r="N396" s="178">
        <v>1.1663347159556195E-4</v>
      </c>
      <c r="O396" s="176">
        <v>1.3902709814190984E-3</v>
      </c>
      <c r="R396" s="177"/>
      <c r="S396" s="177"/>
      <c r="T396" s="160"/>
      <c r="U396" s="160"/>
      <c r="V396" s="160"/>
    </row>
    <row r="397" spans="1:22" ht="15" customHeight="1" x14ac:dyDescent="0.35">
      <c r="A397" s="1618"/>
      <c r="B397" s="168" t="s">
        <v>1284</v>
      </c>
      <c r="C397" s="168" t="s">
        <v>1283</v>
      </c>
      <c r="D397" s="183"/>
      <c r="E397" s="184"/>
      <c r="F397" s="184"/>
      <c r="G397" s="185"/>
      <c r="H397" s="169">
        <v>8.9678541774936574E-2</v>
      </c>
      <c r="I397" s="170">
        <v>8.8156328606277312E-2</v>
      </c>
      <c r="J397" s="171">
        <v>1.1781835670737271E-4</v>
      </c>
      <c r="K397" s="171">
        <v>1.4043948119518827E-3</v>
      </c>
      <c r="L397" s="169">
        <v>8.5430999847468866E-2</v>
      </c>
      <c r="M397" s="170">
        <v>8.398088491020872E-2</v>
      </c>
      <c r="N397" s="178">
        <v>1.1223799823994976E-4</v>
      </c>
      <c r="O397" s="176">
        <v>1.337876939020201E-3</v>
      </c>
      <c r="R397" s="177"/>
      <c r="S397" s="177"/>
      <c r="T397" s="160"/>
      <c r="U397" s="160"/>
      <c r="V397" s="160"/>
    </row>
    <row r="398" spans="1:22" ht="15" customHeight="1" x14ac:dyDescent="0.35">
      <c r="A398" s="1618"/>
      <c r="B398" s="168" t="s">
        <v>1285</v>
      </c>
      <c r="C398" s="168" t="s">
        <v>1283</v>
      </c>
      <c r="D398" s="183"/>
      <c r="E398" s="184"/>
      <c r="F398" s="184"/>
      <c r="G398" s="185"/>
      <c r="H398" s="169">
        <v>0.11938176631258693</v>
      </c>
      <c r="I398" s="170">
        <v>0.11735536743073524</v>
      </c>
      <c r="J398" s="171">
        <v>1.5684201871917121E-4</v>
      </c>
      <c r="K398" s="171">
        <v>1.8695568631325206E-3</v>
      </c>
      <c r="L398" s="169">
        <v>0.11372735838231014</v>
      </c>
      <c r="M398" s="170">
        <v>0.11179693802600182</v>
      </c>
      <c r="N398" s="178">
        <v>1.4941334027154129E-4</v>
      </c>
      <c r="O398" s="176">
        <v>1.7810070160367722E-3</v>
      </c>
      <c r="R398" s="177"/>
      <c r="S398" s="177"/>
      <c r="T398" s="160"/>
      <c r="U398" s="160"/>
      <c r="V398" s="160"/>
    </row>
    <row r="399" spans="1:22" ht="15" customHeight="1" x14ac:dyDescent="0.35">
      <c r="A399" s="1618"/>
      <c r="B399" s="168" t="s">
        <v>1286</v>
      </c>
      <c r="C399" s="168" t="s">
        <v>1283</v>
      </c>
      <c r="D399" s="183"/>
      <c r="E399" s="184"/>
      <c r="F399" s="184"/>
      <c r="G399" s="185"/>
      <c r="H399" s="169">
        <v>0.12800792202552513</v>
      </c>
      <c r="I399" s="170">
        <v>0.12583510185312555</v>
      </c>
      <c r="J399" s="171">
        <v>1.6817493594424072E-4</v>
      </c>
      <c r="K399" s="171">
        <v>2.0046452364553494E-3</v>
      </c>
      <c r="L399" s="169">
        <v>0.12194494413705786</v>
      </c>
      <c r="M399" s="170">
        <v>0.1198750376004116</v>
      </c>
      <c r="N399" s="178">
        <v>1.6020948426054719E-4</v>
      </c>
      <c r="O399" s="176">
        <v>1.9096970523857222E-3</v>
      </c>
      <c r="R399" s="177"/>
      <c r="S399" s="177"/>
      <c r="T399" s="160"/>
      <c r="U399" s="160"/>
      <c r="V399" s="160"/>
    </row>
    <row r="400" spans="1:22" ht="15" customHeight="1" x14ac:dyDescent="0.35">
      <c r="A400" s="1618"/>
      <c r="B400" s="168" t="s">
        <v>1287</v>
      </c>
      <c r="C400" s="168" t="s">
        <v>1283</v>
      </c>
      <c r="D400" s="183"/>
      <c r="E400" s="184"/>
      <c r="F400" s="184"/>
      <c r="G400" s="185"/>
      <c r="H400" s="169">
        <v>0.12961887611256342</v>
      </c>
      <c r="I400" s="170">
        <v>0.12741871143302913</v>
      </c>
      <c r="J400" s="171">
        <v>1.702913838648839E-4</v>
      </c>
      <c r="K400" s="171">
        <v>2.0298732956694162E-3</v>
      </c>
      <c r="L400" s="169">
        <v>0.12347959686044228</v>
      </c>
      <c r="M400" s="170">
        <v>0.12138364096417643</v>
      </c>
      <c r="N400" s="178">
        <v>1.6222568856546796E-4</v>
      </c>
      <c r="O400" s="176">
        <v>1.933730207700378E-3</v>
      </c>
      <c r="R400" s="177"/>
      <c r="S400" s="177"/>
      <c r="T400" s="160"/>
      <c r="U400" s="160"/>
      <c r="V400" s="160"/>
    </row>
    <row r="401" spans="1:22" x14ac:dyDescent="0.35">
      <c r="A401" s="1618" t="s">
        <v>1293</v>
      </c>
      <c r="B401" s="168" t="s">
        <v>1282</v>
      </c>
      <c r="C401" s="168" t="s">
        <v>1283</v>
      </c>
      <c r="D401" s="183"/>
      <c r="E401" s="184"/>
      <c r="F401" s="184"/>
      <c r="G401" s="185"/>
      <c r="H401" s="169">
        <v>1.0383773854953831E-2</v>
      </c>
      <c r="I401" s="170">
        <v>9.9725717676036243E-3</v>
      </c>
      <c r="J401" s="171">
        <v>3.969535773634702E-4</v>
      </c>
      <c r="K401" s="186">
        <v>1.424850998673575E-5</v>
      </c>
      <c r="L401" s="169">
        <v>1.0042015190628329E-2</v>
      </c>
      <c r="M401" s="170">
        <v>9.6443468991892906E-3</v>
      </c>
      <c r="N401" s="178">
        <v>3.8388873925220414E-4</v>
      </c>
      <c r="O401" s="187">
        <v>1.3779552186834104E-5</v>
      </c>
      <c r="R401" s="177"/>
      <c r="S401" s="177"/>
      <c r="T401" s="160"/>
      <c r="U401" s="160"/>
      <c r="V401" s="160"/>
    </row>
    <row r="402" spans="1:22" x14ac:dyDescent="0.35">
      <c r="A402" s="1618"/>
      <c r="B402" s="168" t="s">
        <v>1284</v>
      </c>
      <c r="C402" s="168" t="s">
        <v>1283</v>
      </c>
      <c r="D402" s="183"/>
      <c r="E402" s="184"/>
      <c r="F402" s="184"/>
      <c r="G402" s="185"/>
      <c r="H402" s="169">
        <v>9.9732701206606076E-3</v>
      </c>
      <c r="I402" s="170">
        <v>9.5783241647289328E-3</v>
      </c>
      <c r="J402" s="171">
        <v>3.8126073503803588E-4</v>
      </c>
      <c r="K402" s="186">
        <v>1.3685220893639904E-5</v>
      </c>
      <c r="L402" s="169">
        <v>9.6450222675192078E-3</v>
      </c>
      <c r="M402" s="170">
        <v>9.2630750733349847E-3</v>
      </c>
      <c r="N402" s="178">
        <v>3.687123916913445E-4</v>
      </c>
      <c r="O402" s="187">
        <v>1.3234802492879134E-5</v>
      </c>
      <c r="R402" s="177"/>
      <c r="S402" s="177"/>
      <c r="T402" s="160"/>
      <c r="U402" s="160"/>
      <c r="V402" s="160"/>
    </row>
    <row r="403" spans="1:22" x14ac:dyDescent="0.35">
      <c r="A403" s="1618"/>
      <c r="B403" s="168" t="s">
        <v>1285</v>
      </c>
      <c r="C403" s="168" t="s">
        <v>1283</v>
      </c>
      <c r="D403" s="183"/>
      <c r="E403" s="184"/>
      <c r="F403" s="184"/>
      <c r="G403" s="185"/>
      <c r="H403" s="169">
        <v>1.0927614525385917E-2</v>
      </c>
      <c r="I403" s="170">
        <v>1.0494876104329741E-2</v>
      </c>
      <c r="J403" s="171">
        <v>4.1774365837440961E-4</v>
      </c>
      <c r="K403" s="186">
        <v>1.4994762681766069E-5</v>
      </c>
      <c r="L403" s="169">
        <v>1.0567956563201197E-2</v>
      </c>
      <c r="M403" s="170">
        <v>1.0149460758254377E-2</v>
      </c>
      <c r="N403" s="178">
        <v>4.0399456130134793E-4</v>
      </c>
      <c r="O403" s="187">
        <v>1.4501243645471456E-5</v>
      </c>
      <c r="R403" s="177"/>
      <c r="S403" s="177"/>
      <c r="T403" s="160"/>
      <c r="U403" s="160"/>
      <c r="V403" s="160"/>
    </row>
    <row r="404" spans="1:22" x14ac:dyDescent="0.35">
      <c r="A404" s="1618"/>
      <c r="B404" s="168" t="s">
        <v>1286</v>
      </c>
      <c r="C404" s="168" t="s">
        <v>1283</v>
      </c>
      <c r="D404" s="183"/>
      <c r="E404" s="184"/>
      <c r="F404" s="184"/>
      <c r="G404" s="185"/>
      <c r="H404" s="169">
        <v>1.2368472395754277E-2</v>
      </c>
      <c r="I404" s="170">
        <v>1.187867535880887E-2</v>
      </c>
      <c r="J404" s="171">
        <v>4.7282514359398296E-4</v>
      </c>
      <c r="K404" s="186">
        <v>1.6971893351422938E-5</v>
      </c>
      <c r="L404" s="169">
        <v>1.1961391823241305E-2</v>
      </c>
      <c r="M404" s="170">
        <v>1.1487715358977401E-2</v>
      </c>
      <c r="N404" s="178">
        <v>4.5726316277743217E-4</v>
      </c>
      <c r="O404" s="187">
        <v>1.6413301486472994E-5</v>
      </c>
      <c r="R404" s="177"/>
      <c r="S404" s="177"/>
      <c r="T404" s="160"/>
      <c r="U404" s="160"/>
      <c r="V404" s="160"/>
    </row>
    <row r="405" spans="1:22" x14ac:dyDescent="0.35">
      <c r="A405" s="1618"/>
      <c r="B405" s="168" t="s">
        <v>1287</v>
      </c>
      <c r="C405" s="168" t="s">
        <v>1283</v>
      </c>
      <c r="D405" s="183"/>
      <c r="E405" s="184"/>
      <c r="F405" s="184"/>
      <c r="G405" s="185"/>
      <c r="H405" s="169">
        <v>1.4628674222070072E-2</v>
      </c>
      <c r="I405" s="170">
        <v>1.4049372182242654E-2</v>
      </c>
      <c r="J405" s="171">
        <v>5.5922872027544892E-4</v>
      </c>
      <c r="K405" s="186">
        <v>2.0073319551969005E-5</v>
      </c>
      <c r="L405" s="169">
        <v>1.4147204167654139E-2</v>
      </c>
      <c r="M405" s="170">
        <v>1.3586968557251895E-2</v>
      </c>
      <c r="N405" s="175">
        <v>5.408229592136736E-4</v>
      </c>
      <c r="O405" s="187">
        <v>1.9412651188569813E-5</v>
      </c>
      <c r="R405" s="177"/>
      <c r="S405" s="177"/>
      <c r="T405" s="160"/>
      <c r="U405" s="160"/>
      <c r="V405" s="160"/>
    </row>
    <row r="406" spans="1:22" x14ac:dyDescent="0.35">
      <c r="A406" s="1618" t="s">
        <v>1294</v>
      </c>
      <c r="B406" s="168" t="s">
        <v>1282</v>
      </c>
      <c r="C406" s="168" t="s">
        <v>1283</v>
      </c>
      <c r="D406" s="183"/>
      <c r="E406" s="184"/>
      <c r="F406" s="184"/>
      <c r="G406" s="185"/>
      <c r="H406" s="169">
        <v>2.1460853018309606E-2</v>
      </c>
      <c r="I406" s="170">
        <v>2.0610993643412415E-2</v>
      </c>
      <c r="J406" s="170">
        <v>8.2041100835660529E-4</v>
      </c>
      <c r="K406" s="186">
        <v>2.9448366540587775E-5</v>
      </c>
      <c r="L406" s="169">
        <v>2.0769383696830596E-2</v>
      </c>
      <c r="M406" s="170">
        <v>1.9946906816227145E-2</v>
      </c>
      <c r="N406" s="175">
        <v>7.939773413071984E-4</v>
      </c>
      <c r="O406" s="187">
        <v>2.8499539296250709E-5</v>
      </c>
      <c r="R406" s="177"/>
      <c r="S406" s="177"/>
      <c r="T406" s="160"/>
      <c r="U406" s="160"/>
      <c r="V406" s="160"/>
    </row>
    <row r="407" spans="1:22" x14ac:dyDescent="0.35">
      <c r="A407" s="1618"/>
      <c r="B407" s="168" t="s">
        <v>1284</v>
      </c>
      <c r="C407" s="168" t="s">
        <v>1283</v>
      </c>
      <c r="D407" s="183"/>
      <c r="E407" s="184"/>
      <c r="F407" s="184"/>
      <c r="G407" s="185"/>
      <c r="H407" s="169">
        <v>2.3043590928409956E-2</v>
      </c>
      <c r="I407" s="170">
        <v>2.2131054424614095E-2</v>
      </c>
      <c r="J407" s="170">
        <v>8.8091632022290552E-4</v>
      </c>
      <c r="K407" s="186">
        <v>3.1620183572956145E-5</v>
      </c>
      <c r="L407" s="169">
        <v>2.2301125744471854E-2</v>
      </c>
      <c r="M407" s="170">
        <v>2.1417991193923899E-2</v>
      </c>
      <c r="N407" s="175">
        <v>8.5253317022860426E-4</v>
      </c>
      <c r="O407" s="187">
        <v>3.0601380319349202E-5</v>
      </c>
      <c r="R407" s="177"/>
      <c r="S407" s="177"/>
      <c r="T407" s="160"/>
      <c r="U407" s="160"/>
      <c r="V407" s="160"/>
    </row>
    <row r="408" spans="1:22" x14ac:dyDescent="0.35">
      <c r="A408" s="1618"/>
      <c r="B408" s="168" t="s">
        <v>1285</v>
      </c>
      <c r="C408" s="168" t="s">
        <v>1283</v>
      </c>
      <c r="D408" s="183"/>
      <c r="E408" s="184"/>
      <c r="F408" s="184"/>
      <c r="G408" s="185"/>
      <c r="H408" s="169">
        <v>2.6071112628052895E-2</v>
      </c>
      <c r="I408" s="170">
        <v>2.5038684911314515E-2</v>
      </c>
      <c r="J408" s="170">
        <v>9.9665319835661576E-4</v>
      </c>
      <c r="K408" s="186">
        <v>3.5774518381763804E-5</v>
      </c>
      <c r="L408" s="169">
        <v>2.523110060505724E-2</v>
      </c>
      <c r="M408" s="170">
        <v>2.4231937740007661E-2</v>
      </c>
      <c r="N408" s="175">
        <v>9.6454100271231515E-4</v>
      </c>
      <c r="O408" s="187">
        <v>3.4621862337263987E-5</v>
      </c>
      <c r="R408" s="177"/>
      <c r="S408" s="177"/>
      <c r="T408" s="160"/>
      <c r="U408" s="160"/>
      <c r="V408" s="160"/>
    </row>
    <row r="409" spans="1:22" x14ac:dyDescent="0.35">
      <c r="A409" s="1618"/>
      <c r="B409" s="168" t="s">
        <v>1286</v>
      </c>
      <c r="C409" s="168" t="s">
        <v>1283</v>
      </c>
      <c r="D409" s="183"/>
      <c r="E409" s="184"/>
      <c r="F409" s="184"/>
      <c r="G409" s="185"/>
      <c r="H409" s="169">
        <v>3.2109962590961071E-2</v>
      </c>
      <c r="I409" s="170">
        <v>3.0838393715658469E-2</v>
      </c>
      <c r="J409" s="170">
        <v>1.2275079077736593E-3</v>
      </c>
      <c r="K409" s="186">
        <v>4.4060967528944171E-5</v>
      </c>
      <c r="L409" s="169">
        <v>3.1075378642851256E-2</v>
      </c>
      <c r="M409" s="170">
        <v>2.9844779754467119E-2</v>
      </c>
      <c r="N409" s="175">
        <v>1.187957566537261E-3</v>
      </c>
      <c r="O409" s="187">
        <v>4.2641321846875845E-5</v>
      </c>
      <c r="R409" s="177"/>
      <c r="S409" s="177"/>
      <c r="T409" s="160"/>
      <c r="U409" s="160"/>
      <c r="V409" s="160"/>
    </row>
    <row r="410" spans="1:22" x14ac:dyDescent="0.35">
      <c r="A410" s="1618"/>
      <c r="B410" s="168" t="s">
        <v>1287</v>
      </c>
      <c r="C410" s="168" t="s">
        <v>1283</v>
      </c>
      <c r="D410" s="188"/>
      <c r="E410" s="189"/>
      <c r="F410" s="189"/>
      <c r="G410" s="190"/>
      <c r="H410" s="169">
        <v>3.7534568741519031E-2</v>
      </c>
      <c r="I410" s="170">
        <v>3.6048183037256112E-2</v>
      </c>
      <c r="J410" s="170">
        <v>1.4348811467646619E-3</v>
      </c>
      <c r="K410" s="186">
        <v>5.150455749825567E-5</v>
      </c>
      <c r="L410" s="169">
        <v>3.6325203822167418E-2</v>
      </c>
      <c r="M410" s="170">
        <v>3.4886709509430541E-2</v>
      </c>
      <c r="N410" s="175">
        <v>1.3886492336105168E-3</v>
      </c>
      <c r="O410" s="187">
        <v>4.9845079126356361E-5</v>
      </c>
    </row>
    <row r="411" spans="1:22" x14ac:dyDescent="0.35">
      <c r="A411" s="191"/>
      <c r="B411" s="191"/>
      <c r="C411" s="191"/>
      <c r="D411" s="191"/>
      <c r="E411" s="191"/>
      <c r="F411" s="191"/>
      <c r="G411" s="191"/>
      <c r="H411" s="191"/>
      <c r="I411" s="191"/>
      <c r="J411" s="191"/>
      <c r="K411" s="191"/>
      <c r="L411" s="191"/>
      <c r="M411" s="191"/>
      <c r="N411" s="191"/>
      <c r="O411" s="191"/>
    </row>
    <row r="412" spans="1:22" x14ac:dyDescent="0.35">
      <c r="A412" s="192" t="s">
        <v>1295</v>
      </c>
      <c r="B412" s="193"/>
      <c r="C412" s="193"/>
      <c r="D412" s="193"/>
      <c r="E412" s="193"/>
      <c r="F412" s="193"/>
      <c r="G412" s="193"/>
    </row>
    <row r="413" spans="1:22" ht="24" customHeight="1" x14ac:dyDescent="0.35">
      <c r="A413" s="1740"/>
      <c r="B413" s="1741"/>
      <c r="C413" s="1741"/>
      <c r="D413" s="1742" t="s">
        <v>1296</v>
      </c>
      <c r="E413" s="1742"/>
      <c r="F413" s="1742"/>
      <c r="G413" s="1742"/>
    </row>
    <row r="414" spans="1:22" ht="16.5" x14ac:dyDescent="0.35">
      <c r="A414" s="1758" t="s">
        <v>1265</v>
      </c>
      <c r="B414" s="1759"/>
      <c r="C414" s="194" t="s">
        <v>1157</v>
      </c>
      <c r="D414" s="166" t="s">
        <v>1266</v>
      </c>
      <c r="E414" s="167" t="s">
        <v>1267</v>
      </c>
      <c r="F414" s="167" t="s">
        <v>1268</v>
      </c>
      <c r="G414" s="167" t="s">
        <v>1269</v>
      </c>
      <c r="R414" s="160"/>
    </row>
    <row r="415" spans="1:22" x14ac:dyDescent="0.35">
      <c r="A415" s="1756" t="s">
        <v>48</v>
      </c>
      <c r="B415" s="1757"/>
      <c r="C415" s="195" t="s">
        <v>1283</v>
      </c>
      <c r="D415" s="196">
        <v>0.31671076482504879</v>
      </c>
      <c r="E415" s="197">
        <v>0.30284214034579632</v>
      </c>
      <c r="F415" s="197">
        <v>3.5654768449309062E-3</v>
      </c>
      <c r="G415" s="197">
        <v>1.0303147634321554E-2</v>
      </c>
      <c r="H415" s="191"/>
      <c r="I415" s="191"/>
      <c r="J415" s="191"/>
      <c r="K415" s="191"/>
      <c r="L415" s="191"/>
      <c r="M415" s="191"/>
      <c r="N415" s="191"/>
      <c r="O415" s="191"/>
      <c r="Q415" s="177"/>
      <c r="R415" s="160"/>
    </row>
    <row r="416" spans="1:22" x14ac:dyDescent="0.35">
      <c r="A416" s="1755" t="s">
        <v>46</v>
      </c>
      <c r="B416" s="1755"/>
      <c r="C416" s="195" t="s">
        <v>1283</v>
      </c>
      <c r="D416" s="196">
        <v>0.29601224640896162</v>
      </c>
      <c r="E416" s="197">
        <v>0.29098770284870873</v>
      </c>
      <c r="F416" s="198">
        <v>3.888965603910927E-4</v>
      </c>
      <c r="G416" s="197">
        <v>4.6356469998618246E-3</v>
      </c>
      <c r="H416" s="191"/>
      <c r="I416" s="191"/>
      <c r="J416" s="191"/>
      <c r="K416" s="191"/>
      <c r="L416" s="191"/>
      <c r="M416" s="191"/>
      <c r="N416" s="191"/>
      <c r="O416" s="191"/>
      <c r="Q416" s="177"/>
      <c r="R416" s="160"/>
    </row>
    <row r="417" spans="1:22" x14ac:dyDescent="0.35">
      <c r="A417" s="1755" t="s">
        <v>1297</v>
      </c>
      <c r="B417" s="1755"/>
      <c r="C417" s="195" t="s">
        <v>1283</v>
      </c>
      <c r="D417" s="196">
        <v>0.2500348143355649</v>
      </c>
      <c r="E417" s="197">
        <v>0.23908590027299714</v>
      </c>
      <c r="F417" s="197">
        <v>2.8148501407349266E-3</v>
      </c>
      <c r="G417" s="197">
        <v>8.1340639218328067E-3</v>
      </c>
      <c r="H417" s="191"/>
      <c r="I417" s="191"/>
      <c r="J417" s="191"/>
      <c r="K417" s="191"/>
      <c r="L417" s="191"/>
      <c r="M417" s="191"/>
      <c r="N417" s="191"/>
      <c r="O417" s="191"/>
      <c r="Q417" s="177"/>
      <c r="R417" s="160"/>
    </row>
    <row r="418" spans="1:22" x14ac:dyDescent="0.35">
      <c r="A418" s="1755" t="s">
        <v>1298</v>
      </c>
      <c r="B418" s="1755"/>
      <c r="C418" s="195" t="s">
        <v>1283</v>
      </c>
      <c r="D418" s="196">
        <v>0.26535383517374728</v>
      </c>
      <c r="E418" s="197">
        <v>0.26084969076794917</v>
      </c>
      <c r="F418" s="198">
        <v>3.4861798806487185E-4</v>
      </c>
      <c r="G418" s="197">
        <v>4.1555264177332721E-3</v>
      </c>
      <c r="H418" s="191"/>
      <c r="I418" s="191"/>
      <c r="J418" s="191"/>
      <c r="K418" s="191"/>
      <c r="L418" s="191"/>
      <c r="M418" s="191"/>
      <c r="N418" s="191"/>
      <c r="O418" s="191"/>
      <c r="Q418" s="177"/>
    </row>
    <row r="419" spans="1:22" x14ac:dyDescent="0.35">
      <c r="A419" s="191"/>
      <c r="B419" s="191"/>
      <c r="C419" s="191"/>
      <c r="D419" s="191"/>
      <c r="E419" s="191"/>
      <c r="F419" s="191"/>
      <c r="G419" s="191"/>
      <c r="H419" s="191"/>
      <c r="I419" s="191"/>
      <c r="J419" s="191"/>
      <c r="K419" s="191"/>
      <c r="L419" s="191"/>
      <c r="M419" s="191"/>
      <c r="N419" s="191"/>
      <c r="O419" s="191"/>
    </row>
    <row r="420" spans="1:22" ht="15" customHeight="1" x14ac:dyDescent="0.35"/>
    <row r="421" spans="1:22" x14ac:dyDescent="0.35">
      <c r="A421" s="1767" t="s">
        <v>1299</v>
      </c>
      <c r="B421" s="1767"/>
      <c r="C421" s="1767"/>
      <c r="D421" s="1767"/>
      <c r="E421" s="1767"/>
      <c r="F421" s="1767"/>
      <c r="G421" s="1767"/>
      <c r="H421" s="1767"/>
      <c r="I421" s="1767"/>
      <c r="J421" s="1767"/>
      <c r="K421" s="1767"/>
      <c r="L421" s="1767"/>
      <c r="M421" s="1767"/>
      <c r="N421" s="1767"/>
      <c r="O421" s="1767"/>
    </row>
    <row r="422" spans="1:22" ht="19.5" customHeight="1" x14ac:dyDescent="0.35">
      <c r="A422" s="1740"/>
      <c r="B422" s="1741"/>
      <c r="C422" s="1741"/>
      <c r="D422" s="1742" t="s">
        <v>1279</v>
      </c>
      <c r="E422" s="1742"/>
      <c r="F422" s="1742"/>
      <c r="G422" s="1742"/>
      <c r="H422" s="1742" t="s">
        <v>1280</v>
      </c>
      <c r="I422" s="1742"/>
      <c r="J422" s="1742"/>
      <c r="K422" s="1742"/>
      <c r="L422" s="1742" t="s">
        <v>1281</v>
      </c>
      <c r="M422" s="1742"/>
      <c r="N422" s="1742"/>
      <c r="O422" s="1763"/>
    </row>
    <row r="423" spans="1:22" ht="16.5" x14ac:dyDescent="0.35">
      <c r="A423" s="1622" t="s">
        <v>1265</v>
      </c>
      <c r="B423" s="1623"/>
      <c r="C423" s="165" t="s">
        <v>1157</v>
      </c>
      <c r="D423" s="166" t="s">
        <v>1266</v>
      </c>
      <c r="E423" s="167" t="s">
        <v>1267</v>
      </c>
      <c r="F423" s="167" t="s">
        <v>1268</v>
      </c>
      <c r="G423" s="167" t="s">
        <v>1269</v>
      </c>
      <c r="H423" s="166" t="s">
        <v>1266</v>
      </c>
      <c r="I423" s="167" t="s">
        <v>1267</v>
      </c>
      <c r="J423" s="167" t="s">
        <v>1268</v>
      </c>
      <c r="K423" s="167" t="s">
        <v>1269</v>
      </c>
      <c r="L423" s="166" t="s">
        <v>1266</v>
      </c>
      <c r="M423" s="167" t="s">
        <v>1267</v>
      </c>
      <c r="N423" s="167" t="s">
        <v>1268</v>
      </c>
      <c r="O423" s="167" t="s">
        <v>1269</v>
      </c>
      <c r="R423" s="177"/>
      <c r="S423" s="177"/>
      <c r="T423" s="160"/>
      <c r="U423" s="160"/>
      <c r="V423" s="160"/>
    </row>
    <row r="424" spans="1:22" x14ac:dyDescent="0.35">
      <c r="A424" s="1768" t="s">
        <v>1300</v>
      </c>
      <c r="B424" s="168" t="s">
        <v>1301</v>
      </c>
      <c r="C424" s="168" t="s">
        <v>1283</v>
      </c>
      <c r="D424" s="169">
        <v>0.44552164285599</v>
      </c>
      <c r="E424" s="199">
        <v>0.43889678571314994</v>
      </c>
      <c r="F424" s="199">
        <v>5.8629985714134009E-4</v>
      </c>
      <c r="G424" s="199">
        <v>6.9892242856962007E-3</v>
      </c>
      <c r="H424" s="169">
        <v>0.42276234195942003</v>
      </c>
      <c r="I424" s="199">
        <v>0.41647591308270004</v>
      </c>
      <c r="J424" s="199">
        <v>5.5634895558972E-4</v>
      </c>
      <c r="K424" s="199">
        <v>6.6321824649396002E-3</v>
      </c>
      <c r="L424" s="169">
        <v>0.42121662942786003</v>
      </c>
      <c r="M424" s="199">
        <v>0.41495318512410001</v>
      </c>
      <c r="N424" s="200">
        <v>5.5431482088275997E-4</v>
      </c>
      <c r="O424" s="200">
        <v>6.6079337404668006E-3</v>
      </c>
      <c r="Q424" s="177"/>
      <c r="R424" s="177"/>
      <c r="S424" s="177"/>
      <c r="T424" s="160"/>
      <c r="U424" s="160"/>
      <c r="V424" s="160"/>
    </row>
    <row r="425" spans="1:22" x14ac:dyDescent="0.35">
      <c r="A425" s="1765"/>
      <c r="B425" s="168" t="s">
        <v>1302</v>
      </c>
      <c r="C425" s="168" t="s">
        <v>1283</v>
      </c>
      <c r="D425" s="169">
        <v>0.51042269642933991</v>
      </c>
      <c r="E425" s="199">
        <v>0.50283276785789999</v>
      </c>
      <c r="F425" s="199">
        <v>6.7170867857243991E-4</v>
      </c>
      <c r="G425" s="199">
        <v>8.0073746428692E-3</v>
      </c>
      <c r="H425" s="169">
        <v>0.48434795029859001</v>
      </c>
      <c r="I425" s="199">
        <v>0.47714575029415002</v>
      </c>
      <c r="J425" s="199">
        <v>6.3739470039294005E-4</v>
      </c>
      <c r="K425" s="199">
        <v>7.5983210046842008E-3</v>
      </c>
      <c r="L425" s="169">
        <v>0.47706049696657005</v>
      </c>
      <c r="M425" s="199">
        <v>0.46996666058045</v>
      </c>
      <c r="N425" s="200">
        <v>6.2780452017162011E-4</v>
      </c>
      <c r="O425" s="200">
        <v>7.4839973873566E-3</v>
      </c>
      <c r="Q425" s="177"/>
      <c r="R425" s="177"/>
      <c r="S425" s="177"/>
      <c r="T425" s="160"/>
      <c r="U425" s="160"/>
      <c r="V425" s="160"/>
    </row>
    <row r="426" spans="1:22" x14ac:dyDescent="0.35">
      <c r="A426" s="1765"/>
      <c r="B426" s="168" t="s">
        <v>1303</v>
      </c>
      <c r="C426" s="168" t="s">
        <v>1283</v>
      </c>
      <c r="D426" s="169">
        <v>0.62407039285598997</v>
      </c>
      <c r="E426" s="199">
        <v>0.6147905357131499</v>
      </c>
      <c r="F426" s="199">
        <v>8.2126735714133992E-4</v>
      </c>
      <c r="G426" s="199">
        <v>9.7902492856962002E-3</v>
      </c>
      <c r="H426" s="169">
        <v>0.59218999808837991</v>
      </c>
      <c r="I426" s="199">
        <v>0.58338419886029991</v>
      </c>
      <c r="J426" s="199">
        <v>7.7931323168507999E-4</v>
      </c>
      <c r="K426" s="199">
        <v>9.2901181856243995E-3</v>
      </c>
      <c r="L426" s="169">
        <v>0.58327996352992995</v>
      </c>
      <c r="M426" s="199">
        <v>0.57460665552205004</v>
      </c>
      <c r="N426" s="200">
        <v>7.6758775869738001E-4</v>
      </c>
      <c r="O426" s="200">
        <v>9.1503399483134004E-3</v>
      </c>
      <c r="Q426" s="177"/>
      <c r="R426" s="177"/>
      <c r="S426" s="177"/>
      <c r="T426" s="160"/>
      <c r="U426" s="160"/>
      <c r="V426" s="160"/>
    </row>
    <row r="427" spans="1:22" x14ac:dyDescent="0.35">
      <c r="A427" s="1765"/>
      <c r="B427" s="168" t="s">
        <v>1304</v>
      </c>
      <c r="C427" s="168" t="s">
        <v>1283</v>
      </c>
      <c r="D427" s="169">
        <v>0.73998537499999995</v>
      </c>
      <c r="E427" s="199">
        <v>0.72898187499999989</v>
      </c>
      <c r="F427" s="199">
        <v>9.7380975000000011E-4</v>
      </c>
      <c r="G427" s="199">
        <v>1.16086925E-2</v>
      </c>
      <c r="H427" s="169">
        <v>0.70218350817944997</v>
      </c>
      <c r="I427" s="199">
        <v>0.69174211772324989</v>
      </c>
      <c r="J427" s="199">
        <v>9.2406305537370002E-4</v>
      </c>
      <c r="K427" s="199">
        <v>1.1015666931291E-2</v>
      </c>
      <c r="L427" s="169">
        <v>0.69161852169853011</v>
      </c>
      <c r="M427" s="199">
        <v>0.68133423141305005</v>
      </c>
      <c r="N427" s="200">
        <v>9.1015969026497995E-4</v>
      </c>
      <c r="O427" s="200">
        <v>1.0849926251181401E-2</v>
      </c>
      <c r="Q427" s="177"/>
      <c r="R427" s="177"/>
      <c r="S427" s="177"/>
      <c r="T427" s="160"/>
      <c r="U427" s="160"/>
      <c r="V427" s="160"/>
    </row>
    <row r="428" spans="1:22" x14ac:dyDescent="0.35">
      <c r="A428" s="1765"/>
      <c r="B428" s="168" t="s">
        <v>1305</v>
      </c>
      <c r="C428" s="168" t="s">
        <v>1283</v>
      </c>
      <c r="D428" s="169">
        <v>0.84087958928533002</v>
      </c>
      <c r="E428" s="199">
        <v>0.82837580357105001</v>
      </c>
      <c r="F428" s="199">
        <v>1.10658503571378E-3</v>
      </c>
      <c r="G428" s="199">
        <v>1.3191493928565398E-2</v>
      </c>
      <c r="H428" s="169">
        <v>0.79792358052991996</v>
      </c>
      <c r="I428" s="199">
        <v>0.78605854587519997</v>
      </c>
      <c r="J428" s="199">
        <v>1.05005556694272E-3</v>
      </c>
      <c r="K428" s="199">
        <v>1.25176115607296E-2</v>
      </c>
      <c r="L428" s="169">
        <v>0.78591809799989998</v>
      </c>
      <c r="M428" s="199">
        <v>0.77423158353150001</v>
      </c>
      <c r="N428" s="200">
        <v>1.0342565304534001E-3</v>
      </c>
      <c r="O428" s="200">
        <v>1.2329272764162E-2</v>
      </c>
      <c r="Q428" s="177"/>
      <c r="R428" s="177"/>
      <c r="S428" s="177"/>
      <c r="T428" s="160"/>
      <c r="U428" s="160"/>
      <c r="V428" s="160"/>
    </row>
    <row r="429" spans="1:22" x14ac:dyDescent="0.35">
      <c r="A429" s="1765"/>
      <c r="B429" s="168" t="s">
        <v>1306</v>
      </c>
      <c r="C429" s="168" t="s">
        <v>1283</v>
      </c>
      <c r="D429" s="169">
        <v>0.98218625000000004</v>
      </c>
      <c r="E429" s="199">
        <v>0.96758125000000006</v>
      </c>
      <c r="F429" s="199">
        <v>1.2925425000000002E-3</v>
      </c>
      <c r="G429" s="199">
        <v>1.5408275000000003E-2</v>
      </c>
      <c r="H429" s="169">
        <v>0.95724726000000004</v>
      </c>
      <c r="I429" s="199">
        <v>0.94301310000000005</v>
      </c>
      <c r="J429" s="199">
        <v>1.2597231599999999E-3</v>
      </c>
      <c r="K429" s="199">
        <v>1.50170388E-2</v>
      </c>
      <c r="L429" s="169">
        <v>0.95497132014376007</v>
      </c>
      <c r="M429" s="199">
        <v>0.94077100311560002</v>
      </c>
      <c r="N429" s="200">
        <v>1.2567280569921603E-3</v>
      </c>
      <c r="O429" s="200">
        <v>1.4981334464708802E-2</v>
      </c>
      <c r="Q429" s="177"/>
      <c r="R429" s="177"/>
      <c r="S429" s="177"/>
      <c r="T429" s="160"/>
      <c r="U429" s="160"/>
      <c r="V429" s="160"/>
    </row>
    <row r="430" spans="1:22" x14ac:dyDescent="0.35">
      <c r="A430" s="1765"/>
      <c r="B430" s="168" t="s">
        <v>1307</v>
      </c>
      <c r="C430" s="168" t="s">
        <v>1283</v>
      </c>
      <c r="D430" s="169">
        <v>1.30755616071467</v>
      </c>
      <c r="E430" s="199">
        <v>1.28811294642895</v>
      </c>
      <c r="F430" s="199">
        <v>1.7207244642862202E-3</v>
      </c>
      <c r="G430" s="199">
        <v>2.0512591071434601E-2</v>
      </c>
      <c r="H430" s="169">
        <v>1.2743556042853299</v>
      </c>
      <c r="I430" s="199">
        <v>1.2554060785710499</v>
      </c>
      <c r="J430" s="199">
        <v>1.6770330257137799E-3</v>
      </c>
      <c r="K430" s="199">
        <v>1.9991749628565401E-2</v>
      </c>
      <c r="L430" s="169">
        <v>1.2713257113501399</v>
      </c>
      <c r="M430" s="199">
        <v>1.2524212398059</v>
      </c>
      <c r="N430" s="200">
        <v>1.6730457316652401E-3</v>
      </c>
      <c r="O430" s="200">
        <v>1.9944217479173201E-2</v>
      </c>
      <c r="Q430" s="177"/>
      <c r="R430" s="177"/>
      <c r="S430" s="177"/>
      <c r="T430" s="160"/>
      <c r="U430" s="160"/>
      <c r="V430" s="160"/>
    </row>
    <row r="431" spans="1:22" x14ac:dyDescent="0.35">
      <c r="A431" s="1765"/>
      <c r="B431" s="168" t="s">
        <v>1308</v>
      </c>
      <c r="C431" s="168" t="s">
        <v>1283</v>
      </c>
      <c r="D431" s="169">
        <v>1.4600215178559899</v>
      </c>
      <c r="E431" s="199">
        <v>1.43831116071315</v>
      </c>
      <c r="F431" s="199">
        <v>1.9213666071413399E-3</v>
      </c>
      <c r="G431" s="199">
        <v>2.2904426785696201E-2</v>
      </c>
      <c r="H431" s="169">
        <v>1.4229496671440101</v>
      </c>
      <c r="I431" s="199">
        <v>1.4017905642868498</v>
      </c>
      <c r="J431" s="199">
        <v>1.8725806028586601E-3</v>
      </c>
      <c r="K431" s="199">
        <v>2.2322853514303801E-2</v>
      </c>
      <c r="L431" s="169">
        <v>1.4195664787063997</v>
      </c>
      <c r="M431" s="199">
        <v>1.3984576834839999</v>
      </c>
      <c r="N431" s="200">
        <v>1.8681283771824E-3</v>
      </c>
      <c r="O431" s="200">
        <v>2.2269778959631999E-2</v>
      </c>
      <c r="Q431" s="177"/>
      <c r="R431" s="177"/>
      <c r="S431" s="177"/>
      <c r="T431" s="160"/>
      <c r="U431" s="160"/>
      <c r="V431" s="160"/>
    </row>
    <row r="432" spans="1:22" x14ac:dyDescent="0.35">
      <c r="A432" s="1769"/>
      <c r="B432" s="168" t="s">
        <v>1309</v>
      </c>
      <c r="C432" s="168" t="s">
        <v>1283</v>
      </c>
      <c r="D432" s="169">
        <v>1.5381876339293399</v>
      </c>
      <c r="E432" s="199">
        <v>1.5153149553579</v>
      </c>
      <c r="F432" s="199">
        <v>2.0242320535724403E-3</v>
      </c>
      <c r="G432" s="199">
        <v>2.4130675892869199E-2</v>
      </c>
      <c r="H432" s="169">
        <v>1.4991310435706597</v>
      </c>
      <c r="I432" s="199">
        <v>1.4768391321420997</v>
      </c>
      <c r="J432" s="199">
        <v>1.9728341614275598E-3</v>
      </c>
      <c r="K432" s="199">
        <v>2.3517966557130801E-2</v>
      </c>
      <c r="L432" s="169">
        <v>1.49556672718684</v>
      </c>
      <c r="M432" s="199">
        <v>1.4733278167454</v>
      </c>
      <c r="N432" s="200">
        <v>1.9681435740674402E-3</v>
      </c>
      <c r="O432" s="200">
        <v>2.3462050515719205E-2</v>
      </c>
      <c r="Q432" s="177"/>
      <c r="R432" s="177"/>
      <c r="S432" s="177"/>
      <c r="T432" s="160"/>
      <c r="U432" s="160"/>
      <c r="V432" s="160"/>
    </row>
    <row r="433" spans="1:22" x14ac:dyDescent="0.35">
      <c r="A433" s="1768" t="s">
        <v>1310</v>
      </c>
      <c r="B433" s="168" t="s">
        <v>1301</v>
      </c>
      <c r="C433" s="168" t="s">
        <v>1283</v>
      </c>
      <c r="D433" s="169">
        <v>0.35907714498844995</v>
      </c>
      <c r="E433" s="199">
        <v>0.35373770788824999</v>
      </c>
      <c r="F433" s="200">
        <v>4.7254018336770001E-4</v>
      </c>
      <c r="G433" s="199">
        <v>5.6331061407110007E-3</v>
      </c>
      <c r="H433" s="169">
        <v>0.34033824687412995</v>
      </c>
      <c r="I433" s="199">
        <v>0.33527745509904994</v>
      </c>
      <c r="J433" s="200">
        <v>4.4788007209458004E-4</v>
      </c>
      <c r="K433" s="200">
        <v>5.3391353227093992E-3</v>
      </c>
      <c r="L433" s="169">
        <v>0.33204021708591003</v>
      </c>
      <c r="M433" s="199">
        <v>0.32710281608835001</v>
      </c>
      <c r="N433" s="200">
        <v>4.3695998828406006E-4</v>
      </c>
      <c r="O433" s="200">
        <v>5.2089580524258003E-3</v>
      </c>
      <c r="Q433" s="177"/>
      <c r="R433" s="177"/>
      <c r="S433" s="177"/>
      <c r="T433" s="160"/>
      <c r="U433" s="160"/>
      <c r="V433" s="160"/>
    </row>
    <row r="434" spans="1:22" x14ac:dyDescent="0.35">
      <c r="A434" s="1765"/>
      <c r="B434" s="168" t="s">
        <v>1302</v>
      </c>
      <c r="C434" s="168" t="s">
        <v>1283</v>
      </c>
      <c r="D434" s="169">
        <v>0.41138545682172001</v>
      </c>
      <c r="E434" s="199">
        <v>0.40526820095819999</v>
      </c>
      <c r="F434" s="200">
        <v>5.4137714392152E-4</v>
      </c>
      <c r="G434" s="199">
        <v>6.4537049360136002E-3</v>
      </c>
      <c r="H434" s="169">
        <v>0.38991678283948</v>
      </c>
      <c r="I434" s="199">
        <v>0.3841187637638</v>
      </c>
      <c r="J434" s="200">
        <v>5.1312468819768005E-4</v>
      </c>
      <c r="K434" s="200">
        <v>6.1169101248424E-3</v>
      </c>
      <c r="L434" s="169">
        <v>0.38040994336387002</v>
      </c>
      <c r="M434" s="199">
        <v>0.37475328993094997</v>
      </c>
      <c r="N434" s="200">
        <v>5.0061382881342003E-4</v>
      </c>
      <c r="O434" s="200">
        <v>5.9677693717305998E-3</v>
      </c>
      <c r="Q434" s="177"/>
      <c r="R434" s="177"/>
      <c r="S434" s="177"/>
      <c r="T434" s="160"/>
      <c r="U434" s="160"/>
      <c r="V434" s="160"/>
    </row>
    <row r="435" spans="1:22" x14ac:dyDescent="0.35">
      <c r="A435" s="1765"/>
      <c r="B435" s="168" t="s">
        <v>1303</v>
      </c>
      <c r="C435" s="168" t="s">
        <v>1283</v>
      </c>
      <c r="D435" s="169">
        <v>0.50298210767578</v>
      </c>
      <c r="E435" s="199">
        <v>0.49550281982929995</v>
      </c>
      <c r="F435" s="200">
        <v>6.6191697441348005E-4</v>
      </c>
      <c r="G435" s="199">
        <v>7.8906486780363997E-3</v>
      </c>
      <c r="H435" s="169">
        <v>0.47673334581356003</v>
      </c>
      <c r="I435" s="199">
        <v>0.4696443741286</v>
      </c>
      <c r="J435" s="200">
        <v>6.2737399411895997E-4</v>
      </c>
      <c r="K435" s="200">
        <v>7.4788651276328014E-3</v>
      </c>
      <c r="L435" s="169">
        <v>0.46510976973356</v>
      </c>
      <c r="M435" s="199">
        <v>0.45819363932860002</v>
      </c>
      <c r="N435" s="200">
        <v>6.1207754083896003E-4</v>
      </c>
      <c r="O435" s="200">
        <v>7.2965175772328004E-3</v>
      </c>
      <c r="Q435" s="177"/>
      <c r="R435" s="177"/>
      <c r="S435" s="177"/>
      <c r="T435" s="160"/>
      <c r="U435" s="160"/>
      <c r="V435" s="160"/>
    </row>
    <row r="436" spans="1:22" x14ac:dyDescent="0.35">
      <c r="A436" s="1765"/>
      <c r="B436" s="168" t="s">
        <v>1304</v>
      </c>
      <c r="C436" s="168" t="s">
        <v>1283</v>
      </c>
      <c r="D436" s="169">
        <v>0.59640612313477004</v>
      </c>
      <c r="E436" s="199">
        <v>0.58753763059745001</v>
      </c>
      <c r="F436" s="200">
        <v>7.8486158955282006E-4</v>
      </c>
      <c r="G436" s="199">
        <v>9.3562596268726012E-3</v>
      </c>
      <c r="H436" s="169">
        <v>0.56528191004385997</v>
      </c>
      <c r="I436" s="199">
        <v>0.5568762310841</v>
      </c>
      <c r="J436" s="200">
        <v>7.4390258793876002E-4</v>
      </c>
      <c r="K436" s="200">
        <v>8.8679913025468005E-3</v>
      </c>
      <c r="L436" s="169">
        <v>0.55149936819809997</v>
      </c>
      <c r="M436" s="199">
        <v>0.54329863409849999</v>
      </c>
      <c r="N436" s="200">
        <v>7.257649678146E-4</v>
      </c>
      <c r="O436" s="200">
        <v>8.6517744750780005E-3</v>
      </c>
      <c r="Q436" s="177"/>
      <c r="R436" s="177"/>
      <c r="S436" s="177"/>
      <c r="T436" s="160"/>
      <c r="U436" s="160"/>
      <c r="V436" s="160"/>
    </row>
    <row r="437" spans="1:22" x14ac:dyDescent="0.35">
      <c r="A437" s="1765"/>
      <c r="B437" s="168" t="s">
        <v>1305</v>
      </c>
      <c r="C437" s="168" t="s">
        <v>1283</v>
      </c>
      <c r="D437" s="169">
        <v>0.67772384807970998</v>
      </c>
      <c r="E437" s="199">
        <v>0.66764617004134985</v>
      </c>
      <c r="F437" s="200">
        <v>8.9187450639486004E-4</v>
      </c>
      <c r="G437" s="199">
        <v>1.0631950330469798E-2</v>
      </c>
      <c r="H437" s="169">
        <v>0.64235596595372002</v>
      </c>
      <c r="I437" s="199">
        <v>0.63280420437819995</v>
      </c>
      <c r="J437" s="200">
        <v>8.4533089943352E-4</v>
      </c>
      <c r="K437" s="200">
        <v>1.0077108462173601E-2</v>
      </c>
      <c r="L437" s="169">
        <v>0.6266942265198</v>
      </c>
      <c r="M437" s="199">
        <v>0.61737535326300008</v>
      </c>
      <c r="N437" s="200">
        <v>8.2472028322680012E-4</v>
      </c>
      <c r="O437" s="200">
        <v>9.8314112859240015E-3</v>
      </c>
      <c r="Q437" s="177"/>
      <c r="R437" s="177"/>
      <c r="S437" s="177"/>
      <c r="T437" s="160"/>
      <c r="U437" s="160"/>
      <c r="V437" s="160"/>
    </row>
    <row r="438" spans="1:22" x14ac:dyDescent="0.35">
      <c r="A438" s="1765"/>
      <c r="B438" s="168" t="s">
        <v>1306</v>
      </c>
      <c r="C438" s="168" t="s">
        <v>1283</v>
      </c>
      <c r="D438" s="169">
        <v>0.89275269137707991</v>
      </c>
      <c r="E438" s="199">
        <v>0.8794775584197998</v>
      </c>
      <c r="F438" s="200">
        <v>1.1748492667192801E-3</v>
      </c>
      <c r="G438" s="199">
        <v>1.40052652699304E-2</v>
      </c>
      <c r="H438" s="169">
        <v>0.87008453608406999</v>
      </c>
      <c r="I438" s="199">
        <v>0.85714647606795002</v>
      </c>
      <c r="J438" s="200">
        <v>1.14501831142662E-3</v>
      </c>
      <c r="K438" s="200">
        <v>1.3649653317006601E-2</v>
      </c>
      <c r="L438" s="169">
        <v>0.86801583329790011</v>
      </c>
      <c r="M438" s="199">
        <v>0.85510853466149994</v>
      </c>
      <c r="N438" s="200">
        <v>1.1422959293214E-3</v>
      </c>
      <c r="O438" s="200">
        <v>1.3617200061402001E-2</v>
      </c>
      <c r="Q438" s="177"/>
      <c r="R438" s="177"/>
      <c r="S438" s="177"/>
      <c r="T438" s="160"/>
      <c r="U438" s="160"/>
      <c r="V438" s="160"/>
    </row>
    <row r="439" spans="1:22" x14ac:dyDescent="0.35">
      <c r="A439" s="1765"/>
      <c r="B439" s="168" t="s">
        <v>1307</v>
      </c>
      <c r="C439" s="168" t="s">
        <v>1283</v>
      </c>
      <c r="D439" s="169">
        <v>1.18849584954442</v>
      </c>
      <c r="E439" s="199">
        <v>1.1708230488077001</v>
      </c>
      <c r="F439" s="200">
        <v>1.5640428651997201E-3</v>
      </c>
      <c r="G439" s="199">
        <v>1.86448047772396E-2</v>
      </c>
      <c r="H439" s="169">
        <v>1.15831838971416</v>
      </c>
      <c r="I439" s="199">
        <v>1.1410943244395999</v>
      </c>
      <c r="J439" s="200">
        <v>1.52432977679856E-3</v>
      </c>
      <c r="K439" s="200">
        <v>1.8171388864660801E-2</v>
      </c>
      <c r="L439" s="169">
        <v>1.1555643854977498</v>
      </c>
      <c r="M439" s="199">
        <v>1.1383812719587498</v>
      </c>
      <c r="N439" s="200">
        <v>1.5207055482015001E-3</v>
      </c>
      <c r="O439" s="200">
        <v>1.8128184783644998E-2</v>
      </c>
      <c r="Q439" s="177"/>
      <c r="R439" s="177"/>
      <c r="S439" s="177"/>
      <c r="T439" s="160"/>
      <c r="U439" s="160"/>
      <c r="V439" s="160"/>
    </row>
    <row r="440" spans="1:22" x14ac:dyDescent="0.35">
      <c r="A440" s="1765"/>
      <c r="B440" s="168" t="s">
        <v>1308</v>
      </c>
      <c r="C440" s="168" t="s">
        <v>1283</v>
      </c>
      <c r="D440" s="169">
        <v>1.3723576097077699</v>
      </c>
      <c r="E440" s="199">
        <v>1.35195080510245</v>
      </c>
      <c r="F440" s="200">
        <v>1.80600220757082E-3</v>
      </c>
      <c r="G440" s="199">
        <v>2.1529178858612597E-2</v>
      </c>
      <c r="H440" s="169">
        <v>1.3375116599669901</v>
      </c>
      <c r="I440" s="199">
        <v>1.3176230107481501</v>
      </c>
      <c r="J440" s="200">
        <v>1.7601454558673403E-3</v>
      </c>
      <c r="K440" s="200">
        <v>2.0982524925876201E-2</v>
      </c>
      <c r="L440" s="169">
        <v>1.33433160793117</v>
      </c>
      <c r="M440" s="199">
        <v>1.31449024573145</v>
      </c>
      <c r="N440" s="200">
        <v>1.7559605546752202E-3</v>
      </c>
      <c r="O440" s="200">
        <v>2.0932637120704603E-2</v>
      </c>
      <c r="Q440" s="177"/>
      <c r="R440" s="177"/>
      <c r="S440" s="177"/>
      <c r="T440" s="160"/>
      <c r="U440" s="160"/>
      <c r="V440" s="160"/>
    </row>
    <row r="441" spans="1:22" x14ac:dyDescent="0.35">
      <c r="A441" s="1769"/>
      <c r="B441" s="168" t="s">
        <v>1309</v>
      </c>
      <c r="C441" s="168" t="s">
        <v>1283</v>
      </c>
      <c r="D441" s="169">
        <v>1.4458304064442999</v>
      </c>
      <c r="E441" s="199">
        <v>1.4243310695455</v>
      </c>
      <c r="F441" s="200">
        <v>1.9026913155438E-3</v>
      </c>
      <c r="G441" s="199">
        <v>2.2681800428233999E-2</v>
      </c>
      <c r="H441" s="169">
        <v>1.40911888655852</v>
      </c>
      <c r="I441" s="199">
        <v>1.3881654458662001</v>
      </c>
      <c r="J441" s="200">
        <v>1.8543795012703201E-3</v>
      </c>
      <c r="K441" s="200">
        <v>2.2105879930397601E-2</v>
      </c>
      <c r="L441" s="169">
        <v>1.40576858202322</v>
      </c>
      <c r="M441" s="199">
        <v>1.3848649599857001</v>
      </c>
      <c r="N441" s="200">
        <v>1.8499705503205203E-3</v>
      </c>
      <c r="O441" s="200">
        <v>2.2053321249583601E-2</v>
      </c>
      <c r="Q441" s="177"/>
      <c r="R441" s="177"/>
      <c r="S441" s="177"/>
      <c r="T441" s="160"/>
      <c r="U441" s="160"/>
      <c r="V441" s="160"/>
    </row>
    <row r="442" spans="1:22" x14ac:dyDescent="0.35">
      <c r="A442" s="1764" t="s">
        <v>1311</v>
      </c>
      <c r="B442" s="168" t="s">
        <v>1301</v>
      </c>
      <c r="C442" s="168" t="s">
        <v>1283</v>
      </c>
      <c r="D442" s="201" t="s">
        <v>1312</v>
      </c>
      <c r="E442" s="201" t="s">
        <v>1312</v>
      </c>
      <c r="F442" s="202" t="s">
        <v>1312</v>
      </c>
      <c r="G442" s="202" t="s">
        <v>1312</v>
      </c>
      <c r="H442" s="169">
        <v>4.5007423561774999E-2</v>
      </c>
      <c r="I442" s="199">
        <v>4.3225109465438283E-2</v>
      </c>
      <c r="J442" s="199">
        <v>1.7205553626571119E-3</v>
      </c>
      <c r="K442" s="200">
        <v>6.1758733679591338E-5</v>
      </c>
      <c r="L442" s="169">
        <v>4.4026561579084536E-2</v>
      </c>
      <c r="M442" s="199">
        <v>4.2283090055816028E-2</v>
      </c>
      <c r="N442" s="199">
        <v>1.6830587185306556E-3</v>
      </c>
      <c r="O442" s="200">
        <v>6.0412804737840842E-5</v>
      </c>
      <c r="Q442" s="203"/>
      <c r="R442" s="177"/>
      <c r="S442" s="177"/>
      <c r="T442" s="160"/>
      <c r="U442" s="160"/>
      <c r="V442" s="160"/>
    </row>
    <row r="443" spans="1:22" x14ac:dyDescent="0.35">
      <c r="A443" s="1765"/>
      <c r="B443" s="168" t="s">
        <v>1302</v>
      </c>
      <c r="C443" s="168" t="s">
        <v>1283</v>
      </c>
      <c r="D443" s="201" t="s">
        <v>1312</v>
      </c>
      <c r="E443" s="201" t="s">
        <v>1312</v>
      </c>
      <c r="F443" s="202" t="s">
        <v>1312</v>
      </c>
      <c r="G443" s="202" t="s">
        <v>1312</v>
      </c>
      <c r="H443" s="169">
        <v>5.1563848495327844E-2</v>
      </c>
      <c r="I443" s="199">
        <v>4.9521897040176191E-2</v>
      </c>
      <c r="J443" s="199">
        <v>1.971196061158767E-3</v>
      </c>
      <c r="K443" s="200">
        <v>7.0755393992878398E-5</v>
      </c>
      <c r="L443" s="169">
        <v>5.044010012964837E-2</v>
      </c>
      <c r="M443" s="199">
        <v>4.8442649612217288E-2</v>
      </c>
      <c r="N443" s="199">
        <v>1.9282371196367493E-3</v>
      </c>
      <c r="O443" s="200">
        <v>6.9213397794326453E-5</v>
      </c>
      <c r="Q443" s="203"/>
      <c r="R443" s="177"/>
      <c r="S443" s="177"/>
      <c r="T443" s="160"/>
      <c r="U443" s="160"/>
      <c r="V443" s="160"/>
    </row>
    <row r="444" spans="1:22" x14ac:dyDescent="0.35">
      <c r="A444" s="1765"/>
      <c r="B444" s="168" t="s">
        <v>1303</v>
      </c>
      <c r="C444" s="168" t="s">
        <v>1283</v>
      </c>
      <c r="D444" s="201" t="s">
        <v>1312</v>
      </c>
      <c r="E444" s="201" t="s">
        <v>1312</v>
      </c>
      <c r="F444" s="202" t="s">
        <v>1312</v>
      </c>
      <c r="G444" s="202" t="s">
        <v>1312</v>
      </c>
      <c r="H444" s="169">
        <v>6.3044749798369645E-2</v>
      </c>
      <c r="I444" s="199">
        <v>6.0548149518386322E-2</v>
      </c>
      <c r="J444" s="199">
        <v>2.4100909087603601E-3</v>
      </c>
      <c r="K444" s="200">
        <v>8.6509371222946461E-5</v>
      </c>
      <c r="L444" s="169">
        <v>6.1670794272894548E-2</v>
      </c>
      <c r="M444" s="199">
        <v>5.9228603246029944E-2</v>
      </c>
      <c r="N444" s="199">
        <v>2.3575669835869078E-3</v>
      </c>
      <c r="O444" s="200">
        <v>8.4624043277680872E-5</v>
      </c>
      <c r="Q444" s="203"/>
      <c r="R444" s="177"/>
      <c r="S444" s="177"/>
      <c r="T444" s="160"/>
      <c r="U444" s="160"/>
      <c r="V444" s="160"/>
    </row>
    <row r="445" spans="1:22" x14ac:dyDescent="0.35">
      <c r="A445" s="1765"/>
      <c r="B445" s="168" t="s">
        <v>1304</v>
      </c>
      <c r="C445" s="168" t="s">
        <v>1283</v>
      </c>
      <c r="D445" s="201" t="s">
        <v>1312</v>
      </c>
      <c r="E445" s="201" t="s">
        <v>1312</v>
      </c>
      <c r="F445" s="202" t="s">
        <v>1312</v>
      </c>
      <c r="G445" s="202" t="s">
        <v>1312</v>
      </c>
      <c r="H445" s="169">
        <v>7.4754696513806659E-2</v>
      </c>
      <c r="I445" s="199">
        <v>7.1794377108252233E-2</v>
      </c>
      <c r="J445" s="199">
        <v>2.8577417632915146E-3</v>
      </c>
      <c r="K445" s="200">
        <v>1.025776422629064E-4</v>
      </c>
      <c r="L445" s="169">
        <v>8.3095933972629613E-2</v>
      </c>
      <c r="M445" s="199">
        <v>7.9805297834251179E-2</v>
      </c>
      <c r="N445" s="199">
        <v>3.17661273401651E-3</v>
      </c>
      <c r="O445" s="200">
        <v>1.140234043619214E-4</v>
      </c>
      <c r="Q445" s="203"/>
      <c r="R445" s="177"/>
      <c r="S445" s="177"/>
      <c r="T445" s="160"/>
      <c r="U445" s="160"/>
      <c r="V445" s="160"/>
    </row>
    <row r="446" spans="1:22" x14ac:dyDescent="0.35">
      <c r="A446" s="1766"/>
      <c r="B446" s="168" t="s">
        <v>1305</v>
      </c>
      <c r="C446" s="168" t="s">
        <v>1283</v>
      </c>
      <c r="D446" s="201" t="s">
        <v>1312</v>
      </c>
      <c r="E446" s="201" t="s">
        <v>1312</v>
      </c>
      <c r="F446" s="202" t="s">
        <v>1312</v>
      </c>
      <c r="G446" s="202" t="s">
        <v>1312</v>
      </c>
      <c r="H446" s="169">
        <v>8.4947217371326697E-2</v>
      </c>
      <c r="I446" s="199">
        <v>8.1583269582631651E-2</v>
      </c>
      <c r="J446" s="199">
        <v>3.2473840718837944E-3</v>
      </c>
      <c r="K446" s="200">
        <v>1.1656371681123664E-4</v>
      </c>
      <c r="L446" s="169">
        <v>8.3095933972629613E-2</v>
      </c>
      <c r="M446" s="199">
        <v>7.9805297834251179E-2</v>
      </c>
      <c r="N446" s="199">
        <v>3.17661273401651E-3</v>
      </c>
      <c r="O446" s="200">
        <v>1.140234043619214E-4</v>
      </c>
      <c r="Q446" s="203"/>
    </row>
    <row r="447" spans="1:22" x14ac:dyDescent="0.35">
      <c r="A447" s="204"/>
    </row>
    <row r="448" spans="1:22" x14ac:dyDescent="0.35">
      <c r="A448" s="192" t="s">
        <v>1295</v>
      </c>
      <c r="B448" s="193"/>
      <c r="C448" s="193"/>
      <c r="D448" s="193"/>
      <c r="E448" s="193"/>
      <c r="F448" s="193"/>
      <c r="G448" s="193"/>
    </row>
    <row r="449" spans="1:20" ht="24" customHeight="1" x14ac:dyDescent="0.35">
      <c r="A449" s="1740"/>
      <c r="B449" s="1741"/>
      <c r="C449" s="1741"/>
      <c r="D449" s="1742" t="s">
        <v>1313</v>
      </c>
      <c r="E449" s="1742"/>
      <c r="F449" s="1742"/>
      <c r="G449" s="1742"/>
    </row>
    <row r="450" spans="1:20" ht="16.5" x14ac:dyDescent="0.35">
      <c r="A450" s="1758" t="s">
        <v>1265</v>
      </c>
      <c r="B450" s="1759"/>
      <c r="C450" s="194" t="s">
        <v>1157</v>
      </c>
      <c r="D450" s="166" t="s">
        <v>1266</v>
      </c>
      <c r="E450" s="167" t="s">
        <v>1267</v>
      </c>
      <c r="F450" s="167" t="s">
        <v>1268</v>
      </c>
      <c r="G450" s="167" t="s">
        <v>1269</v>
      </c>
    </row>
    <row r="451" spans="1:20" x14ac:dyDescent="0.35">
      <c r="A451" s="1755" t="s">
        <v>1314</v>
      </c>
      <c r="B451" s="1755"/>
      <c r="C451" s="195" t="s">
        <v>1283</v>
      </c>
      <c r="D451" s="196">
        <v>0.48012534078942309</v>
      </c>
      <c r="E451" s="176">
        <v>0.47197564185485669</v>
      </c>
      <c r="F451" s="176">
        <v>6.3078165128223221E-4</v>
      </c>
      <c r="G451" s="176">
        <v>7.5189172832842077E-3</v>
      </c>
      <c r="H451" s="191"/>
      <c r="I451" s="191"/>
      <c r="J451" s="191"/>
      <c r="K451" s="191"/>
      <c r="L451" s="191"/>
      <c r="M451" s="191"/>
      <c r="N451" s="191"/>
      <c r="O451" s="191"/>
      <c r="Q451" s="177"/>
    </row>
    <row r="452" spans="1:20" x14ac:dyDescent="0.35">
      <c r="A452" s="1755" t="s">
        <v>1315</v>
      </c>
      <c r="B452" s="1755"/>
      <c r="C452" s="195" t="s">
        <v>1283</v>
      </c>
      <c r="D452" s="196">
        <v>0.38696669257655009</v>
      </c>
      <c r="E452" s="176">
        <v>0.38039827850988461</v>
      </c>
      <c r="F452" s="179">
        <v>5.0839118163045608E-4</v>
      </c>
      <c r="G452" s="176">
        <v>6.0600228850350357E-3</v>
      </c>
      <c r="H452" s="191"/>
      <c r="I452" s="191"/>
      <c r="J452" s="191"/>
      <c r="K452" s="191"/>
      <c r="L452" s="191"/>
      <c r="M452" s="191"/>
      <c r="N452" s="191"/>
      <c r="O452" s="191"/>
      <c r="Q452" s="177"/>
    </row>
    <row r="453" spans="1:20" ht="15" customHeight="1" x14ac:dyDescent="0.35">
      <c r="A453" s="204"/>
    </row>
    <row r="455" spans="1:20" x14ac:dyDescent="0.35">
      <c r="A455" s="192" t="s">
        <v>1316</v>
      </c>
      <c r="B455" s="193"/>
      <c r="C455" s="193"/>
      <c r="D455" s="1725" t="s">
        <v>1317</v>
      </c>
      <c r="E455" s="1726"/>
      <c r="F455" s="1726"/>
      <c r="G455" s="1727"/>
      <c r="H455" s="1725" t="s">
        <v>1318</v>
      </c>
      <c r="I455" s="1726"/>
      <c r="J455" s="1726"/>
      <c r="K455" s="1727"/>
      <c r="L455" s="193"/>
      <c r="M455" s="205"/>
    </row>
    <row r="456" spans="1:20" ht="16.5" x14ac:dyDescent="0.35">
      <c r="A456" s="1622" t="s">
        <v>1265</v>
      </c>
      <c r="B456" s="1623"/>
      <c r="C456" s="165" t="s">
        <v>1157</v>
      </c>
      <c r="D456" s="166" t="s">
        <v>1266</v>
      </c>
      <c r="E456" s="167" t="s">
        <v>1267</v>
      </c>
      <c r="F456" s="167" t="s">
        <v>1268</v>
      </c>
      <c r="G456" s="167" t="s">
        <v>1269</v>
      </c>
      <c r="H456" s="166" t="s">
        <v>1266</v>
      </c>
      <c r="I456" s="167" t="s">
        <v>1267</v>
      </c>
      <c r="J456" s="167" t="s">
        <v>1268</v>
      </c>
      <c r="K456" s="167" t="s">
        <v>1269</v>
      </c>
      <c r="L456" s="165" t="s">
        <v>1270</v>
      </c>
      <c r="M456" s="524" t="s">
        <v>1271</v>
      </c>
      <c r="R456" s="177"/>
      <c r="S456" s="160"/>
      <c r="T456" s="160"/>
    </row>
    <row r="457" spans="1:20" ht="15" customHeight="1" x14ac:dyDescent="0.35">
      <c r="A457" s="1618" t="s">
        <v>1319</v>
      </c>
      <c r="B457" s="168" t="s">
        <v>881</v>
      </c>
      <c r="C457" s="168" t="s">
        <v>1714</v>
      </c>
      <c r="D457" s="169">
        <v>4.4936299999999996</v>
      </c>
      <c r="E457" s="170">
        <v>4.4694900000000004</v>
      </c>
      <c r="F457" s="171">
        <v>1.8799999999999999E-3</v>
      </c>
      <c r="G457" s="170">
        <v>2.2259999999999999E-2</v>
      </c>
      <c r="H457" s="169">
        <v>2.3765000000000001</v>
      </c>
      <c r="I457" s="170">
        <v>2.35236</v>
      </c>
      <c r="J457" s="171">
        <v>1.8799999999999999E-3</v>
      </c>
      <c r="K457" s="170">
        <v>2.2259999999999999E-2</v>
      </c>
      <c r="L457" s="497" t="s">
        <v>1320</v>
      </c>
      <c r="M457" s="1774" t="s">
        <v>1692</v>
      </c>
      <c r="Q457" s="177"/>
      <c r="R457" s="177"/>
      <c r="S457" s="160"/>
      <c r="T457" s="160"/>
    </row>
    <row r="458" spans="1:20" ht="15" customHeight="1" x14ac:dyDescent="0.35">
      <c r="A458" s="1618"/>
      <c r="B458" s="168" t="s">
        <v>1321</v>
      </c>
      <c r="C458" s="168" t="s">
        <v>1714</v>
      </c>
      <c r="D458" s="169">
        <v>2.3022900000000002</v>
      </c>
      <c r="E458" s="170">
        <v>2.2907999999999999</v>
      </c>
      <c r="F458" s="171">
        <v>8.0000000000000007E-5</v>
      </c>
      <c r="G458" s="170">
        <v>1.141E-2</v>
      </c>
      <c r="H458" s="169">
        <v>1.2171700000000001</v>
      </c>
      <c r="I458" s="170">
        <v>1.2056800000000001</v>
      </c>
      <c r="J458" s="171">
        <v>8.0000000000000007E-5</v>
      </c>
      <c r="K458" s="170">
        <v>1.141E-2</v>
      </c>
      <c r="L458" s="497" t="s">
        <v>1320</v>
      </c>
      <c r="M458" s="1775"/>
      <c r="Q458" s="177"/>
      <c r="R458" s="177"/>
      <c r="S458" s="160"/>
      <c r="T458" s="160"/>
    </row>
    <row r="459" spans="1:20" x14ac:dyDescent="0.35">
      <c r="A459" s="1618"/>
      <c r="B459" s="168" t="s">
        <v>1322</v>
      </c>
      <c r="C459" s="168" t="s">
        <v>1714</v>
      </c>
      <c r="D459" s="169">
        <v>1.0188999999999999</v>
      </c>
      <c r="E459" s="170">
        <v>1.0138100000000001</v>
      </c>
      <c r="F459" s="186">
        <v>4.0000000000000003E-5</v>
      </c>
      <c r="G459" s="170">
        <v>5.0499999999999998E-3</v>
      </c>
      <c r="H459" s="169">
        <v>0.53866999999999998</v>
      </c>
      <c r="I459" s="170">
        <v>0.53358000000000005</v>
      </c>
      <c r="J459" s="171">
        <v>4.0000000000000003E-5</v>
      </c>
      <c r="K459" s="170">
        <v>5.0499999999999998E-3</v>
      </c>
      <c r="L459" s="497" t="s">
        <v>1320</v>
      </c>
      <c r="M459" s="1776"/>
      <c r="Q459" s="177"/>
    </row>
    <row r="461" spans="1:20" x14ac:dyDescent="0.35">
      <c r="A461" s="1797" t="s">
        <v>1323</v>
      </c>
      <c r="B461" s="1797"/>
      <c r="C461" s="1797"/>
      <c r="D461" s="1797"/>
      <c r="E461" s="1797"/>
      <c r="F461" s="1797"/>
      <c r="G461" s="1797"/>
      <c r="H461" s="1797"/>
      <c r="I461" s="1797"/>
      <c r="J461" s="1797"/>
      <c r="K461" s="1797"/>
    </row>
    <row r="462" spans="1:20" ht="16.5" x14ac:dyDescent="0.35">
      <c r="A462" s="1622" t="s">
        <v>1265</v>
      </c>
      <c r="B462" s="1623"/>
      <c r="C462" s="165" t="s">
        <v>1157</v>
      </c>
      <c r="D462" s="166" t="s">
        <v>1266</v>
      </c>
      <c r="E462" s="167" t="s">
        <v>1267</v>
      </c>
      <c r="F462" s="167" t="s">
        <v>1268</v>
      </c>
      <c r="G462" s="167" t="s">
        <v>1269</v>
      </c>
      <c r="H462" s="165" t="s">
        <v>1270</v>
      </c>
      <c r="I462" s="1624" t="s">
        <v>1271</v>
      </c>
      <c r="J462" s="1625"/>
      <c r="K462" s="1625"/>
      <c r="R462" s="160"/>
    </row>
    <row r="463" spans="1:20" s="82" customFormat="1" x14ac:dyDescent="0.35">
      <c r="A463" s="1626" t="s">
        <v>1324</v>
      </c>
      <c r="B463" s="168" t="s">
        <v>1325</v>
      </c>
      <c r="C463" s="168" t="s">
        <v>1714</v>
      </c>
      <c r="D463" s="169">
        <v>1.6E-2</v>
      </c>
      <c r="E463" s="170">
        <v>1.5842310306041413E-2</v>
      </c>
      <c r="F463" s="186">
        <v>3.579208358333696E-5</v>
      </c>
      <c r="G463" s="171">
        <v>1.2189761037525044E-4</v>
      </c>
      <c r="H463" s="496" t="s">
        <v>1326</v>
      </c>
      <c r="I463" s="1777" t="s">
        <v>1327</v>
      </c>
      <c r="J463" s="1778"/>
      <c r="K463" s="1779"/>
      <c r="L463"/>
      <c r="M463"/>
      <c r="N463"/>
      <c r="O463"/>
      <c r="P463"/>
      <c r="Q463"/>
      <c r="R463" s="570"/>
    </row>
    <row r="464" spans="1:20" x14ac:dyDescent="0.35">
      <c r="A464" s="1627"/>
      <c r="B464" s="565" t="s">
        <v>1328</v>
      </c>
      <c r="C464" s="565" t="s">
        <v>1714</v>
      </c>
      <c r="D464" s="566">
        <v>0.03</v>
      </c>
      <c r="E464" s="566">
        <v>2.9704331823827645E-2</v>
      </c>
      <c r="F464" s="567">
        <v>6.7110156718756787E-5</v>
      </c>
      <c r="G464" s="568">
        <v>2.2855801945359454E-4</v>
      </c>
      <c r="H464" s="569" t="s">
        <v>1326</v>
      </c>
      <c r="I464" s="1780"/>
      <c r="J464" s="1781"/>
      <c r="K464" s="1782"/>
      <c r="L464" s="82"/>
      <c r="M464" s="82"/>
      <c r="N464" s="82"/>
      <c r="O464" s="82"/>
      <c r="P464" s="82"/>
      <c r="Q464" s="82"/>
      <c r="R464" s="160"/>
    </row>
    <row r="465" spans="1:18" x14ac:dyDescent="0.35">
      <c r="A465" s="1627"/>
      <c r="B465" s="168" t="s">
        <v>1329</v>
      </c>
      <c r="C465" s="168" t="s">
        <v>1714</v>
      </c>
      <c r="D465" s="169">
        <v>4.5999999999999999E-2</v>
      </c>
      <c r="E465" s="170">
        <v>4.5546642129869058E-2</v>
      </c>
      <c r="F465" s="171">
        <v>1.0290224030209375E-4</v>
      </c>
      <c r="G465" s="171">
        <v>3.5045562982884501E-4</v>
      </c>
      <c r="H465" s="496" t="s">
        <v>1326</v>
      </c>
      <c r="I465" s="1783"/>
      <c r="J465" s="1784"/>
      <c r="K465" s="1785"/>
    </row>
    <row r="467" spans="1:18" x14ac:dyDescent="0.35">
      <c r="A467" s="1619" t="s">
        <v>1330</v>
      </c>
      <c r="B467" s="1620"/>
      <c r="C467" s="1620"/>
      <c r="D467" s="1620"/>
      <c r="E467" s="1620"/>
      <c r="F467" s="1620"/>
      <c r="G467" s="1620"/>
      <c r="H467" s="1620"/>
      <c r="I467" s="1620"/>
      <c r="J467" s="1620"/>
      <c r="K467" s="1620"/>
      <c r="L467" s="1620"/>
      <c r="M467" s="1621"/>
    </row>
    <row r="468" spans="1:18" ht="15" customHeight="1" x14ac:dyDescent="0.35">
      <c r="A468" s="1622" t="s">
        <v>1265</v>
      </c>
      <c r="B468" s="1623"/>
      <c r="C468" s="165" t="s">
        <v>1157</v>
      </c>
      <c r="D468" s="166" t="s">
        <v>1266</v>
      </c>
      <c r="E468" s="167" t="s">
        <v>1267</v>
      </c>
      <c r="F468" s="167" t="s">
        <v>1268</v>
      </c>
      <c r="G468" s="167" t="s">
        <v>1269</v>
      </c>
      <c r="H468" s="165" t="s">
        <v>1270</v>
      </c>
      <c r="I468" s="1624" t="s">
        <v>1271</v>
      </c>
      <c r="J468" s="1625"/>
      <c r="K468" s="1625"/>
      <c r="L468" s="1625"/>
      <c r="M468" s="1625"/>
      <c r="R468" s="160"/>
    </row>
    <row r="469" spans="1:18" ht="15" customHeight="1" x14ac:dyDescent="0.35">
      <c r="A469" s="1618" t="s">
        <v>1331</v>
      </c>
      <c r="B469" s="168" t="s">
        <v>1332</v>
      </c>
      <c r="C469" s="168" t="s">
        <v>1714</v>
      </c>
      <c r="D469" s="169">
        <v>2.5400000000000002E-3</v>
      </c>
      <c r="E469" s="170">
        <v>2.5000000000000001E-3</v>
      </c>
      <c r="F469" s="206">
        <v>0</v>
      </c>
      <c r="G469" s="186">
        <v>3.0000000000000001E-5</v>
      </c>
      <c r="H469" s="497" t="s">
        <v>1326</v>
      </c>
      <c r="I469" s="1786" t="s">
        <v>1692</v>
      </c>
      <c r="J469" s="1787"/>
      <c r="K469" s="1787"/>
      <c r="L469" s="1787"/>
      <c r="M469" s="1788"/>
      <c r="Q469" s="177"/>
      <c r="R469" s="160"/>
    </row>
    <row r="470" spans="1:18" ht="15" customHeight="1" x14ac:dyDescent="0.35">
      <c r="A470" s="1618"/>
      <c r="B470" s="168" t="s">
        <v>1333</v>
      </c>
      <c r="C470" s="168" t="s">
        <v>1714</v>
      </c>
      <c r="D470" s="169">
        <v>3.0400000000000002E-3</v>
      </c>
      <c r="E470" s="170">
        <v>3.0000000000000001E-3</v>
      </c>
      <c r="F470" s="206">
        <v>0</v>
      </c>
      <c r="G470" s="186">
        <v>4.0000000000000003E-5</v>
      </c>
      <c r="H470" s="497" t="s">
        <v>1326</v>
      </c>
      <c r="I470" s="1789"/>
      <c r="J470" s="1790"/>
      <c r="K470" s="1790"/>
      <c r="L470" s="1790"/>
      <c r="M470" s="1791"/>
      <c r="Q470" s="177"/>
      <c r="R470" s="160"/>
    </row>
    <row r="471" spans="1:18" ht="15" customHeight="1" x14ac:dyDescent="0.35">
      <c r="A471" s="1618"/>
      <c r="B471" s="168" t="s">
        <v>1334</v>
      </c>
      <c r="C471" s="168" t="s">
        <v>1714</v>
      </c>
      <c r="D471" s="169">
        <v>4.1599999999999996E-3</v>
      </c>
      <c r="E471" s="170">
        <v>4.1000000000000003E-3</v>
      </c>
      <c r="F471" s="206">
        <v>0</v>
      </c>
      <c r="G471" s="186">
        <v>6.0000000000000002E-5</v>
      </c>
      <c r="H471" s="497" t="s">
        <v>1326</v>
      </c>
      <c r="I471" s="1789"/>
      <c r="J471" s="1790"/>
      <c r="K471" s="1790"/>
      <c r="L471" s="1790"/>
      <c r="M471" s="1791"/>
      <c r="Q471" s="177"/>
      <c r="R471" s="160"/>
    </row>
    <row r="472" spans="1:18" ht="15" customHeight="1" x14ac:dyDescent="0.35">
      <c r="A472" s="1618"/>
      <c r="B472" s="168" t="s">
        <v>1335</v>
      </c>
      <c r="C472" s="168" t="s">
        <v>1714</v>
      </c>
      <c r="D472" s="169">
        <v>5.7800000000000004E-3</v>
      </c>
      <c r="E472" s="170">
        <v>5.7000000000000002E-3</v>
      </c>
      <c r="F472" s="206">
        <v>0</v>
      </c>
      <c r="G472" s="186">
        <v>8.0000000000000007E-5</v>
      </c>
      <c r="H472" s="497" t="s">
        <v>1326</v>
      </c>
      <c r="I472" s="1789"/>
      <c r="J472" s="1790"/>
      <c r="K472" s="1790"/>
      <c r="L472" s="1790"/>
      <c r="M472" s="1791"/>
      <c r="Q472" s="177"/>
      <c r="R472" s="160"/>
    </row>
    <row r="473" spans="1:18" ht="15" customHeight="1" x14ac:dyDescent="0.35">
      <c r="A473" s="1618"/>
      <c r="B473" s="168" t="s">
        <v>1336</v>
      </c>
      <c r="C473" s="168" t="s">
        <v>1714</v>
      </c>
      <c r="D473" s="169">
        <v>8.0099999999999998E-3</v>
      </c>
      <c r="E473" s="170">
        <v>7.9000000000000008E-3</v>
      </c>
      <c r="F473" s="206">
        <v>0</v>
      </c>
      <c r="G473" s="186">
        <v>1.1E-4</v>
      </c>
      <c r="H473" s="497" t="s">
        <v>1326</v>
      </c>
      <c r="I473" s="1789"/>
      <c r="J473" s="1790"/>
      <c r="K473" s="1790"/>
      <c r="L473" s="1790"/>
      <c r="M473" s="1791"/>
      <c r="Q473" s="177"/>
      <c r="R473" s="160"/>
    </row>
    <row r="474" spans="1:18" ht="15" customHeight="1" x14ac:dyDescent="0.35">
      <c r="A474" s="1618"/>
      <c r="B474" s="168" t="s">
        <v>1337</v>
      </c>
      <c r="C474" s="168" t="s">
        <v>1714</v>
      </c>
      <c r="D474" s="169">
        <v>2.9610000000000001E-2</v>
      </c>
      <c r="E474" s="170">
        <v>2.92E-2</v>
      </c>
      <c r="F474" s="206">
        <v>1.0000000000000001E-5</v>
      </c>
      <c r="G474" s="186">
        <v>4.0000000000000002E-4</v>
      </c>
      <c r="H474" s="497" t="s">
        <v>1326</v>
      </c>
      <c r="I474" s="1789"/>
      <c r="J474" s="1790"/>
      <c r="K474" s="1790"/>
      <c r="L474" s="1790"/>
      <c r="M474" s="1791"/>
      <c r="Q474" s="177"/>
      <c r="R474" s="160"/>
    </row>
    <row r="475" spans="1:18" ht="15" customHeight="1" x14ac:dyDescent="0.35">
      <c r="A475" s="1618"/>
      <c r="B475" s="168" t="s">
        <v>1338</v>
      </c>
      <c r="C475" s="168" t="s">
        <v>1714</v>
      </c>
      <c r="D475" s="169">
        <v>3.5400000000000002E-3</v>
      </c>
      <c r="E475" s="170">
        <v>3.49E-3</v>
      </c>
      <c r="F475" s="206">
        <v>0</v>
      </c>
      <c r="G475" s="186">
        <v>5.0000000000000002E-5</v>
      </c>
      <c r="H475" s="497" t="s">
        <v>1326</v>
      </c>
      <c r="I475" s="1789"/>
      <c r="J475" s="1790"/>
      <c r="K475" s="1790"/>
      <c r="L475" s="1790"/>
      <c r="M475" s="1791"/>
      <c r="Q475" s="177"/>
      <c r="R475" s="160"/>
    </row>
    <row r="476" spans="1:18" ht="15" customHeight="1" x14ac:dyDescent="0.35">
      <c r="A476" s="1618" t="s">
        <v>1339</v>
      </c>
      <c r="B476" s="168" t="s">
        <v>1340</v>
      </c>
      <c r="C476" s="168" t="s">
        <v>1714</v>
      </c>
      <c r="D476" s="169">
        <v>1.2070000000000001E-2</v>
      </c>
      <c r="E476" s="170">
        <v>1.1900000000000001E-2</v>
      </c>
      <c r="F476" s="206">
        <v>0</v>
      </c>
      <c r="G476" s="186">
        <v>1.6000000000000001E-4</v>
      </c>
      <c r="H476" s="497" t="s">
        <v>1326</v>
      </c>
      <c r="I476" s="1789"/>
      <c r="J476" s="1790"/>
      <c r="K476" s="1790"/>
      <c r="L476" s="1790"/>
      <c r="M476" s="1791"/>
      <c r="Q476" s="177"/>
      <c r="R476" s="160"/>
    </row>
    <row r="477" spans="1:18" ht="15" customHeight="1" x14ac:dyDescent="0.35">
      <c r="A477" s="1618"/>
      <c r="B477" s="168" t="s">
        <v>1341</v>
      </c>
      <c r="C477" s="168" t="s">
        <v>1714</v>
      </c>
      <c r="D477" s="169">
        <v>1.602E-2</v>
      </c>
      <c r="E477" s="170">
        <v>1.5800000000000002E-2</v>
      </c>
      <c r="F477" s="206">
        <v>1.0000000000000001E-5</v>
      </c>
      <c r="G477" s="186">
        <v>2.2000000000000001E-4</v>
      </c>
      <c r="H477" s="497" t="s">
        <v>1326</v>
      </c>
      <c r="I477" s="1789"/>
      <c r="J477" s="1790"/>
      <c r="K477" s="1790"/>
      <c r="L477" s="1790"/>
      <c r="M477" s="1791"/>
      <c r="Q477" s="177"/>
      <c r="R477" s="160"/>
    </row>
    <row r="478" spans="1:18" ht="15" customHeight="1" x14ac:dyDescent="0.35">
      <c r="A478" s="1618"/>
      <c r="B478" s="168" t="s">
        <v>1342</v>
      </c>
      <c r="C478" s="168" t="s">
        <v>1714</v>
      </c>
      <c r="D478" s="169">
        <v>1.409E-2</v>
      </c>
      <c r="E478" s="170">
        <v>1.3899999999999999E-2</v>
      </c>
      <c r="F478" s="206">
        <v>0</v>
      </c>
      <c r="G478" s="186">
        <v>1.9000000000000001E-4</v>
      </c>
      <c r="H478" s="497" t="s">
        <v>1326</v>
      </c>
      <c r="I478" s="1789"/>
      <c r="J478" s="1790"/>
      <c r="K478" s="1790"/>
      <c r="L478" s="1790"/>
      <c r="M478" s="1791"/>
      <c r="Q478" s="177"/>
      <c r="R478" s="160"/>
    </row>
    <row r="479" spans="1:18" ht="15" customHeight="1" x14ac:dyDescent="0.35">
      <c r="A479" s="1618"/>
      <c r="B479" s="168" t="s">
        <v>1343</v>
      </c>
      <c r="C479" s="168" t="s">
        <v>1714</v>
      </c>
      <c r="D479" s="169">
        <v>1.115E-2</v>
      </c>
      <c r="E479" s="170">
        <v>1.0999999999999999E-2</v>
      </c>
      <c r="F479" s="206">
        <v>0</v>
      </c>
      <c r="G479" s="186">
        <v>1.4999999999999999E-4</v>
      </c>
      <c r="H479" s="497" t="s">
        <v>1326</v>
      </c>
      <c r="I479" s="1789"/>
      <c r="J479" s="1790"/>
      <c r="K479" s="1790"/>
      <c r="L479" s="1790"/>
      <c r="M479" s="1791"/>
      <c r="Q479" s="177"/>
      <c r="R479" s="160"/>
    </row>
    <row r="480" spans="1:18" ht="15" customHeight="1" x14ac:dyDescent="0.35">
      <c r="A480" s="1618"/>
      <c r="B480" s="168" t="s">
        <v>1344</v>
      </c>
      <c r="C480" s="168" t="s">
        <v>1714</v>
      </c>
      <c r="D480" s="169">
        <v>1.7739999999999999E-2</v>
      </c>
      <c r="E480" s="170">
        <v>1.7500000000000002E-2</v>
      </c>
      <c r="F480" s="206">
        <v>1.0000000000000001E-5</v>
      </c>
      <c r="G480" s="186">
        <v>2.4000000000000001E-4</v>
      </c>
      <c r="H480" s="497" t="s">
        <v>1326</v>
      </c>
      <c r="I480" s="1789"/>
      <c r="J480" s="1790"/>
      <c r="K480" s="1790"/>
      <c r="L480" s="1790"/>
      <c r="M480" s="1791"/>
      <c r="Q480" s="177"/>
      <c r="R480" s="160"/>
    </row>
    <row r="481" spans="1:18" s="82" customFormat="1" ht="15" customHeight="1" x14ac:dyDescent="0.35">
      <c r="A481" s="1618"/>
      <c r="B481" s="168" t="s">
        <v>1345</v>
      </c>
      <c r="C481" s="168" t="s">
        <v>1714</v>
      </c>
      <c r="D481" s="169">
        <v>2.0080000000000001E-2</v>
      </c>
      <c r="E481" s="170">
        <v>1.9800000000000002E-2</v>
      </c>
      <c r="F481" s="206">
        <v>1.0000000000000001E-5</v>
      </c>
      <c r="G481" s="186">
        <v>2.7E-4</v>
      </c>
      <c r="H481" s="497" t="s">
        <v>1326</v>
      </c>
      <c r="I481" s="1789"/>
      <c r="J481" s="1790"/>
      <c r="K481" s="1790"/>
      <c r="L481" s="1790"/>
      <c r="M481" s="1791"/>
      <c r="N481"/>
      <c r="O481"/>
      <c r="P481"/>
      <c r="Q481" s="177"/>
      <c r="R481" s="570"/>
    </row>
    <row r="482" spans="1:18" ht="15" customHeight="1" x14ac:dyDescent="0.35">
      <c r="A482" s="1618"/>
      <c r="B482" s="565" t="s">
        <v>1338</v>
      </c>
      <c r="C482" s="565" t="s">
        <v>1714</v>
      </c>
      <c r="D482" s="566">
        <v>1.323E-2</v>
      </c>
      <c r="E482" s="566">
        <v>1.3050000000000001E-2</v>
      </c>
      <c r="F482" s="571">
        <v>0</v>
      </c>
      <c r="G482" s="567">
        <v>1.8000000000000001E-4</v>
      </c>
      <c r="H482" s="572" t="s">
        <v>1326</v>
      </c>
      <c r="I482" s="1789"/>
      <c r="J482" s="1790"/>
      <c r="K482" s="1790"/>
      <c r="L482" s="1790"/>
      <c r="M482" s="1791"/>
      <c r="N482" s="82"/>
      <c r="O482" s="82"/>
      <c r="P482" s="82"/>
      <c r="Q482" s="573"/>
      <c r="R482" s="160"/>
    </row>
    <row r="483" spans="1:18" ht="15" customHeight="1" x14ac:dyDescent="0.35">
      <c r="A483" s="1618" t="s">
        <v>1346</v>
      </c>
      <c r="B483" s="168" t="s">
        <v>1347</v>
      </c>
      <c r="C483" s="168" t="s">
        <v>1714</v>
      </c>
      <c r="D483" s="169">
        <v>1.2670000000000001E-2</v>
      </c>
      <c r="E483" s="170">
        <v>1.2500000000000001E-2</v>
      </c>
      <c r="F483" s="206">
        <v>0</v>
      </c>
      <c r="G483" s="186">
        <v>1.7000000000000001E-4</v>
      </c>
      <c r="H483" s="497" t="s">
        <v>1326</v>
      </c>
      <c r="I483" s="1789"/>
      <c r="J483" s="1790"/>
      <c r="K483" s="1790"/>
      <c r="L483" s="1790"/>
      <c r="M483" s="1791"/>
      <c r="Q483" s="177"/>
      <c r="R483" s="160"/>
    </row>
    <row r="484" spans="1:18" ht="15" customHeight="1" x14ac:dyDescent="0.35">
      <c r="A484" s="1618"/>
      <c r="B484" s="168" t="s">
        <v>1348</v>
      </c>
      <c r="C484" s="168" t="s">
        <v>1714</v>
      </c>
      <c r="D484" s="169">
        <v>1.6830000000000001E-2</v>
      </c>
      <c r="E484" s="170">
        <v>1.66E-2</v>
      </c>
      <c r="F484" s="206">
        <v>1.0000000000000001E-5</v>
      </c>
      <c r="G484" s="186">
        <v>2.3000000000000001E-4</v>
      </c>
      <c r="H484" s="497" t="s">
        <v>1326</v>
      </c>
      <c r="I484" s="1789"/>
      <c r="J484" s="1790"/>
      <c r="K484" s="1790"/>
      <c r="L484" s="1790"/>
      <c r="M484" s="1791"/>
      <c r="Q484" s="177"/>
      <c r="R484" s="160"/>
    </row>
    <row r="485" spans="1:18" ht="15" customHeight="1" x14ac:dyDescent="0.35">
      <c r="A485" s="1618"/>
      <c r="B485" s="168" t="s">
        <v>1349</v>
      </c>
      <c r="C485" s="168" t="s">
        <v>1714</v>
      </c>
      <c r="D485" s="169">
        <v>1.6830000000000001E-2</v>
      </c>
      <c r="E485" s="170">
        <v>1.66E-2</v>
      </c>
      <c r="F485" s="206">
        <v>1.0000000000000001E-5</v>
      </c>
      <c r="G485" s="186">
        <v>2.3000000000000001E-4</v>
      </c>
      <c r="H485" s="497" t="s">
        <v>1326</v>
      </c>
      <c r="I485" s="1789"/>
      <c r="J485" s="1790"/>
      <c r="K485" s="1790"/>
      <c r="L485" s="1790"/>
      <c r="M485" s="1791"/>
      <c r="Q485" s="177"/>
      <c r="R485" s="160"/>
    </row>
    <row r="486" spans="1:18" ht="15" customHeight="1" x14ac:dyDescent="0.35">
      <c r="A486" s="1618"/>
      <c r="B486" s="168" t="s">
        <v>1350</v>
      </c>
      <c r="C486" s="168" t="s">
        <v>1714</v>
      </c>
      <c r="D486" s="169">
        <v>2.0279999999999999E-2</v>
      </c>
      <c r="E486" s="170">
        <v>0.02</v>
      </c>
      <c r="F486" s="206">
        <v>1.0000000000000001E-5</v>
      </c>
      <c r="G486" s="186">
        <v>2.7E-4</v>
      </c>
      <c r="H486" s="497" t="s">
        <v>1326</v>
      </c>
      <c r="I486" s="1789"/>
      <c r="J486" s="1790"/>
      <c r="K486" s="1790"/>
      <c r="L486" s="1790"/>
      <c r="M486" s="1791"/>
      <c r="Q486" s="177"/>
      <c r="R486" s="160"/>
    </row>
    <row r="487" spans="1:18" ht="15" customHeight="1" x14ac:dyDescent="0.35">
      <c r="A487" s="1618"/>
      <c r="B487" s="168" t="s">
        <v>1351</v>
      </c>
      <c r="C487" s="168" t="s">
        <v>1714</v>
      </c>
      <c r="D487" s="169">
        <v>3.2550000000000003E-2</v>
      </c>
      <c r="E487" s="170">
        <v>3.2099999999999997E-2</v>
      </c>
      <c r="F487" s="206">
        <v>1.0000000000000001E-5</v>
      </c>
      <c r="G487" s="186">
        <v>4.4000000000000002E-4</v>
      </c>
      <c r="H487" s="497" t="s">
        <v>1326</v>
      </c>
      <c r="I487" s="1789"/>
      <c r="J487" s="1790"/>
      <c r="K487" s="1790"/>
      <c r="L487" s="1790"/>
      <c r="M487" s="1791"/>
      <c r="Q487" s="177"/>
      <c r="R487" s="160"/>
    </row>
    <row r="488" spans="1:18" ht="15" customHeight="1" x14ac:dyDescent="0.35">
      <c r="A488" s="1618"/>
      <c r="B488" s="168" t="s">
        <v>1352</v>
      </c>
      <c r="C488" s="168" t="s">
        <v>1714</v>
      </c>
      <c r="D488" s="169">
        <v>3.6810000000000002E-2</v>
      </c>
      <c r="E488" s="170">
        <v>3.6299999999999999E-2</v>
      </c>
      <c r="F488" s="206">
        <v>1.0000000000000001E-5</v>
      </c>
      <c r="G488" s="186">
        <v>4.8999999999999998E-4</v>
      </c>
      <c r="H488" s="497" t="s">
        <v>1326</v>
      </c>
      <c r="I488" s="1789"/>
      <c r="J488" s="1790"/>
      <c r="K488" s="1790"/>
      <c r="L488" s="1790"/>
      <c r="M488" s="1791"/>
      <c r="Q488" s="177"/>
      <c r="R488" s="160"/>
    </row>
    <row r="489" spans="1:18" ht="15" customHeight="1" x14ac:dyDescent="0.35">
      <c r="A489" s="1618"/>
      <c r="B489" s="168" t="s">
        <v>1338</v>
      </c>
      <c r="C489" s="168" t="s">
        <v>1714</v>
      </c>
      <c r="D489" s="169">
        <v>1.6140000000000002E-2</v>
      </c>
      <c r="E489" s="170">
        <v>1.592E-2</v>
      </c>
      <c r="F489" s="206">
        <v>1.0000000000000001E-5</v>
      </c>
      <c r="G489" s="186">
        <v>2.2000000000000001E-4</v>
      </c>
      <c r="H489" s="497" t="s">
        <v>1326</v>
      </c>
      <c r="I489" s="1789"/>
      <c r="J489" s="1790"/>
      <c r="K489" s="1790"/>
      <c r="L489" s="1790"/>
      <c r="M489" s="1791"/>
      <c r="Q489" s="177"/>
      <c r="R489" s="160"/>
    </row>
    <row r="490" spans="1:18" ht="15" customHeight="1" x14ac:dyDescent="0.35">
      <c r="A490" s="1618" t="s">
        <v>1353</v>
      </c>
      <c r="B490" s="168" t="s">
        <v>1354</v>
      </c>
      <c r="C490" s="168" t="s">
        <v>1714</v>
      </c>
      <c r="D490" s="169">
        <v>3.245E-2</v>
      </c>
      <c r="E490" s="170">
        <v>3.2000000000000001E-2</v>
      </c>
      <c r="F490" s="206">
        <v>1.0000000000000001E-5</v>
      </c>
      <c r="G490" s="186">
        <v>4.4000000000000002E-4</v>
      </c>
      <c r="H490" s="497" t="s">
        <v>1326</v>
      </c>
      <c r="I490" s="1789"/>
      <c r="J490" s="1790"/>
      <c r="K490" s="1790"/>
      <c r="L490" s="1790"/>
      <c r="M490" s="1791"/>
      <c r="Q490" s="177"/>
      <c r="R490" s="160"/>
    </row>
    <row r="491" spans="1:18" ht="15" customHeight="1" x14ac:dyDescent="0.35">
      <c r="A491" s="1618"/>
      <c r="B491" s="168" t="s">
        <v>1355</v>
      </c>
      <c r="C491" s="168" t="s">
        <v>1714</v>
      </c>
      <c r="D491" s="169">
        <v>5.8400000000000001E-2</v>
      </c>
      <c r="E491" s="170">
        <v>5.7599999999999998E-2</v>
      </c>
      <c r="F491" s="206">
        <v>2.0000000000000002E-5</v>
      </c>
      <c r="G491" s="186">
        <v>7.7999999999999999E-4</v>
      </c>
      <c r="H491" s="497" t="s">
        <v>1326</v>
      </c>
      <c r="I491" s="1789"/>
      <c r="J491" s="1790"/>
      <c r="K491" s="1790"/>
      <c r="L491" s="1790"/>
      <c r="M491" s="1791"/>
      <c r="Q491" s="177"/>
      <c r="R491" s="160"/>
    </row>
    <row r="492" spans="1:18" ht="15" customHeight="1" x14ac:dyDescent="0.35">
      <c r="A492" s="1618"/>
      <c r="B492" s="168" t="s">
        <v>1338</v>
      </c>
      <c r="C492" s="168" t="s">
        <v>1714</v>
      </c>
      <c r="D492" s="169">
        <v>3.8580000000000003E-2</v>
      </c>
      <c r="E492" s="170">
        <v>3.805E-2</v>
      </c>
      <c r="F492" s="206">
        <v>1.0000000000000001E-5</v>
      </c>
      <c r="G492" s="186">
        <v>5.1999999999999995E-4</v>
      </c>
      <c r="H492" s="497" t="s">
        <v>1326</v>
      </c>
      <c r="I492" s="1789"/>
      <c r="J492" s="1790"/>
      <c r="K492" s="1790"/>
      <c r="L492" s="1790"/>
      <c r="M492" s="1791"/>
      <c r="Q492" s="177"/>
      <c r="R492" s="160"/>
    </row>
    <row r="493" spans="1:18" ht="15" customHeight="1" x14ac:dyDescent="0.35">
      <c r="A493" s="1645" t="s">
        <v>1356</v>
      </c>
      <c r="B493" s="168" t="s">
        <v>1357</v>
      </c>
      <c r="C493" s="168" t="s">
        <v>1714</v>
      </c>
      <c r="D493" s="169">
        <v>5.0189999999999999E-2</v>
      </c>
      <c r="E493" s="170">
        <v>4.9500000000000002E-2</v>
      </c>
      <c r="F493" s="206">
        <v>2.0000000000000002E-5</v>
      </c>
      <c r="G493" s="186">
        <v>6.7000000000000002E-4</v>
      </c>
      <c r="H493" s="497" t="s">
        <v>1326</v>
      </c>
      <c r="I493" s="1789"/>
      <c r="J493" s="1790"/>
      <c r="K493" s="1790"/>
      <c r="L493" s="1790"/>
      <c r="M493" s="1791"/>
      <c r="Q493" s="177"/>
      <c r="R493" s="160"/>
    </row>
    <row r="494" spans="1:18" ht="15" customHeight="1" x14ac:dyDescent="0.35">
      <c r="A494" s="1646"/>
      <c r="B494" s="168" t="s">
        <v>1358</v>
      </c>
      <c r="C494" s="168" t="s">
        <v>1714</v>
      </c>
      <c r="D494" s="169">
        <v>6.114E-2</v>
      </c>
      <c r="E494" s="170">
        <v>6.0299999999999999E-2</v>
      </c>
      <c r="F494" s="206">
        <v>2.0000000000000002E-5</v>
      </c>
      <c r="G494" s="186">
        <v>8.1999999999999998E-4</v>
      </c>
      <c r="H494" s="497" t="s">
        <v>1326</v>
      </c>
      <c r="I494" s="1789"/>
      <c r="J494" s="1790"/>
      <c r="K494" s="1790"/>
      <c r="L494" s="1790"/>
      <c r="M494" s="1791"/>
      <c r="Q494" s="177"/>
      <c r="R494" s="160"/>
    </row>
    <row r="495" spans="1:18" ht="15" customHeight="1" x14ac:dyDescent="0.35">
      <c r="A495" s="1646"/>
      <c r="B495" s="168" t="s">
        <v>1338</v>
      </c>
      <c r="C495" s="168" t="s">
        <v>1714</v>
      </c>
      <c r="D495" s="169">
        <v>5.1659999999999998E-2</v>
      </c>
      <c r="E495" s="170">
        <v>5.0950000000000002E-2</v>
      </c>
      <c r="F495" s="206">
        <v>2.0000000000000002E-5</v>
      </c>
      <c r="G495" s="186">
        <v>6.8999999999999997E-4</v>
      </c>
      <c r="H495" s="497" t="s">
        <v>1326</v>
      </c>
      <c r="I495" s="1789"/>
      <c r="J495" s="1790"/>
      <c r="K495" s="1790"/>
      <c r="L495" s="1790"/>
      <c r="M495" s="1791"/>
      <c r="Q495" s="177"/>
      <c r="R495" s="160"/>
    </row>
    <row r="496" spans="1:18" x14ac:dyDescent="0.35">
      <c r="A496" s="1647"/>
      <c r="B496" s="168" t="s">
        <v>1693</v>
      </c>
      <c r="C496" s="168" t="s">
        <v>1714</v>
      </c>
      <c r="D496" s="169">
        <v>0.37667</v>
      </c>
      <c r="E496" s="170">
        <v>0.3715</v>
      </c>
      <c r="F496" s="206">
        <v>1.1E-4</v>
      </c>
      <c r="G496" s="186">
        <v>5.0600000000000003E-3</v>
      </c>
      <c r="H496" s="497"/>
      <c r="I496" s="1789"/>
      <c r="J496" s="1790"/>
      <c r="K496" s="1790"/>
      <c r="L496" s="1790"/>
      <c r="M496" s="1791"/>
      <c r="Q496" s="177"/>
      <c r="R496" s="160"/>
    </row>
    <row r="497" spans="1:17" x14ac:dyDescent="0.35">
      <c r="A497" s="207" t="s">
        <v>1359</v>
      </c>
      <c r="B497" s="168" t="s">
        <v>1360</v>
      </c>
      <c r="C497" s="168" t="s">
        <v>1714</v>
      </c>
      <c r="D497" s="169">
        <v>1.308E-2</v>
      </c>
      <c r="E497" s="170">
        <v>1.29E-2</v>
      </c>
      <c r="F497" s="206">
        <v>0</v>
      </c>
      <c r="G497" s="186">
        <v>1.8000000000000001E-4</v>
      </c>
      <c r="H497" s="497" t="s">
        <v>1326</v>
      </c>
      <c r="I497" s="1792"/>
      <c r="J497" s="1793"/>
      <c r="K497" s="1793"/>
      <c r="L497" s="1793"/>
      <c r="M497" s="1794"/>
      <c r="Q497" s="177"/>
    </row>
    <row r="499" spans="1:17" x14ac:dyDescent="0.35">
      <c r="A499" s="1619" t="s">
        <v>1361</v>
      </c>
      <c r="B499" s="1620"/>
      <c r="C499" s="1620"/>
      <c r="D499" s="1620"/>
      <c r="E499" s="1620"/>
      <c r="F499" s="1620"/>
      <c r="G499" s="1620"/>
      <c r="H499" s="1620"/>
      <c r="I499" s="1621"/>
    </row>
    <row r="500" spans="1:17" ht="16.5" x14ac:dyDescent="0.35">
      <c r="A500" s="1622" t="s">
        <v>1265</v>
      </c>
      <c r="B500" s="1623"/>
      <c r="C500" s="165" t="s">
        <v>1157</v>
      </c>
      <c r="D500" s="166" t="s">
        <v>1266</v>
      </c>
      <c r="E500" s="167" t="s">
        <v>1267</v>
      </c>
      <c r="F500" s="167" t="s">
        <v>1268</v>
      </c>
      <c r="G500" s="167" t="s">
        <v>1269</v>
      </c>
      <c r="H500" s="165" t="s">
        <v>1270</v>
      </c>
      <c r="I500" s="524" t="s">
        <v>1271</v>
      </c>
    </row>
    <row r="501" spans="1:17" x14ac:dyDescent="0.35">
      <c r="A501" s="207" t="s">
        <v>1362</v>
      </c>
      <c r="B501" s="168" t="s">
        <v>1363</v>
      </c>
      <c r="C501" s="168" t="s">
        <v>1714</v>
      </c>
      <c r="D501" s="169">
        <v>2.7E-2</v>
      </c>
      <c r="E501" s="170">
        <v>2.7E-2</v>
      </c>
      <c r="F501" s="186">
        <v>9.0000000000000006E-5</v>
      </c>
      <c r="G501" s="171">
        <v>6.9999999999999994E-5</v>
      </c>
      <c r="H501" s="497"/>
      <c r="I501" s="220"/>
    </row>
    <row r="502" spans="1:17" x14ac:dyDescent="0.35">
      <c r="A502" s="208" t="s">
        <v>1243</v>
      </c>
    </row>
    <row r="504" spans="1:17" ht="23.5" x14ac:dyDescent="0.55000000000000004">
      <c r="A504" s="1651" t="s">
        <v>88</v>
      </c>
      <c r="B504" s="1652"/>
      <c r="C504" s="1652"/>
      <c r="D504" s="1652"/>
      <c r="E504" s="1652"/>
      <c r="F504" s="1652"/>
      <c r="G504" s="1652"/>
      <c r="H504" s="1652"/>
      <c r="I504" s="1652"/>
      <c r="J504" s="1652"/>
      <c r="K504" s="1652"/>
      <c r="L504" s="1652"/>
      <c r="M504" s="1652"/>
      <c r="N504" s="1652"/>
      <c r="O504" s="1652"/>
      <c r="P504" s="1652"/>
      <c r="Q504" s="1653"/>
    </row>
    <row r="505" spans="1:17" s="6" customFormat="1" x14ac:dyDescent="0.35">
      <c r="A505"/>
      <c r="B505"/>
      <c r="C505"/>
      <c r="D505"/>
      <c r="E505"/>
      <c r="F505"/>
      <c r="G505"/>
      <c r="H505"/>
      <c r="I505"/>
      <c r="J505"/>
      <c r="K505"/>
      <c r="L505"/>
      <c r="M505"/>
      <c r="N505"/>
      <c r="O505"/>
      <c r="P505"/>
      <c r="Q505"/>
    </row>
    <row r="506" spans="1:17" x14ac:dyDescent="0.35">
      <c r="A506" s="6" t="s">
        <v>1364</v>
      </c>
      <c r="B506" s="6"/>
      <c r="C506" s="6"/>
      <c r="D506" s="6"/>
      <c r="E506" s="6"/>
      <c r="F506" s="6"/>
      <c r="G506" s="6"/>
      <c r="H506" s="6"/>
      <c r="I506" s="6"/>
      <c r="J506" s="6"/>
      <c r="K506" s="6"/>
      <c r="L506" s="6"/>
      <c r="M506" s="6"/>
      <c r="N506" s="6"/>
      <c r="O506" s="6"/>
      <c r="P506" s="6"/>
      <c r="Q506" s="6"/>
    </row>
    <row r="532" spans="1:17" x14ac:dyDescent="0.35">
      <c r="G532" s="1706" t="s">
        <v>1365</v>
      </c>
      <c r="H532" s="1707"/>
      <c r="I532" s="1707"/>
      <c r="J532" s="1707"/>
      <c r="K532" s="1708"/>
      <c r="L532" s="39" t="s">
        <v>1366</v>
      </c>
      <c r="M532" s="39">
        <v>2</v>
      </c>
    </row>
    <row r="533" spans="1:17" x14ac:dyDescent="0.35">
      <c r="A533" t="s">
        <v>1367</v>
      </c>
      <c r="G533" s="1706" t="s">
        <v>1368</v>
      </c>
      <c r="H533" s="1707"/>
      <c r="I533" s="1707"/>
      <c r="J533" s="1707"/>
      <c r="K533" s="1708"/>
      <c r="L533" s="39" t="s">
        <v>1369</v>
      </c>
      <c r="M533" s="39">
        <v>1.3</v>
      </c>
    </row>
    <row r="534" spans="1:17" x14ac:dyDescent="0.35">
      <c r="A534" s="10" t="s">
        <v>1370</v>
      </c>
      <c r="G534" s="1706" t="s">
        <v>1371</v>
      </c>
      <c r="H534" s="1707"/>
      <c r="I534" s="1707"/>
      <c r="J534" s="1707"/>
      <c r="K534" s="1708"/>
      <c r="L534" s="39" t="s">
        <v>1372</v>
      </c>
      <c r="M534" s="39">
        <v>4</v>
      </c>
    </row>
    <row r="535" spans="1:17" x14ac:dyDescent="0.35">
      <c r="G535" s="1706" t="s">
        <v>1373</v>
      </c>
      <c r="H535" s="1707"/>
      <c r="I535" s="1707"/>
      <c r="J535" s="1707"/>
      <c r="K535" s="1708"/>
      <c r="L535" s="39" t="s">
        <v>1374</v>
      </c>
      <c r="M535" s="39">
        <f>M533+M532</f>
        <v>3.3</v>
      </c>
      <c r="N535" t="s">
        <v>1375</v>
      </c>
    </row>
    <row r="536" spans="1:17" x14ac:dyDescent="0.35">
      <c r="G536" s="1706" t="s">
        <v>1376</v>
      </c>
      <c r="H536" s="1707"/>
      <c r="I536" s="1707"/>
      <c r="J536" s="1707"/>
      <c r="K536" s="1708"/>
      <c r="L536" s="39" t="s">
        <v>1377</v>
      </c>
      <c r="M536" s="39">
        <f>(M532+M533)-M534</f>
        <v>-0.70000000000000018</v>
      </c>
    </row>
    <row r="538" spans="1:17" ht="23.5" x14ac:dyDescent="0.55000000000000004">
      <c r="A538" s="1651" t="s">
        <v>71</v>
      </c>
      <c r="B538" s="1652"/>
      <c r="C538" s="1652"/>
      <c r="D538" s="1652"/>
      <c r="E538" s="1652"/>
      <c r="F538" s="1652"/>
      <c r="G538" s="1652"/>
      <c r="H538" s="1652"/>
      <c r="I538" s="1652"/>
      <c r="J538" s="1652"/>
      <c r="K538" s="1652"/>
      <c r="L538" s="1652"/>
      <c r="M538" s="1652"/>
      <c r="N538" s="1652"/>
      <c r="O538" s="1652"/>
      <c r="P538" s="1652"/>
      <c r="Q538" s="1653"/>
    </row>
    <row r="539" spans="1:17" x14ac:dyDescent="0.35">
      <c r="A539" s="2" t="s">
        <v>1378</v>
      </c>
    </row>
    <row r="540" spans="1:17" x14ac:dyDescent="0.35">
      <c r="A540" s="2" t="s">
        <v>1379</v>
      </c>
    </row>
    <row r="568" spans="1:3" ht="15.5" x14ac:dyDescent="0.35">
      <c r="A568" s="26" t="s">
        <v>1380</v>
      </c>
      <c r="B568" s="24"/>
      <c r="C568" s="24"/>
    </row>
    <row r="579" spans="1:17" ht="15.5" x14ac:dyDescent="0.35">
      <c r="A579" s="26" t="s">
        <v>1381</v>
      </c>
    </row>
    <row r="581" spans="1:17" s="24" customFormat="1" ht="16" thickBot="1" x14ac:dyDescent="0.4">
      <c r="A581" s="93" t="s">
        <v>1382</v>
      </c>
      <c r="B581"/>
      <c r="C581"/>
      <c r="D581"/>
      <c r="E581"/>
      <c r="F581"/>
      <c r="G581"/>
      <c r="H581"/>
      <c r="I581"/>
      <c r="J581"/>
      <c r="K581"/>
      <c r="L581"/>
      <c r="M581"/>
      <c r="N581"/>
      <c r="O581"/>
      <c r="P581"/>
      <c r="Q581"/>
    </row>
    <row r="582" spans="1:17" s="24" customFormat="1" ht="15.5" x14ac:dyDescent="0.35">
      <c r="A582" s="406" t="s">
        <v>762</v>
      </c>
      <c r="B582" s="366" t="s">
        <v>803</v>
      </c>
      <c r="C582" s="407" t="s">
        <v>1383</v>
      </c>
      <c r="J582" s="259"/>
    </row>
    <row r="583" spans="1:17" s="24" customFormat="1" ht="15.5" x14ac:dyDescent="0.35">
      <c r="A583" s="368" t="s">
        <v>95</v>
      </c>
      <c r="B583" s="414" t="s">
        <v>1384</v>
      </c>
      <c r="C583" s="376">
        <v>0.94266000000000005</v>
      </c>
    </row>
    <row r="584" spans="1:17" s="24" customFormat="1" ht="15.5" x14ac:dyDescent="0.35">
      <c r="A584" s="368" t="s">
        <v>1385</v>
      </c>
      <c r="B584" s="414" t="s">
        <v>1386</v>
      </c>
      <c r="C584" s="376">
        <v>0.72389999999999999</v>
      </c>
      <c r="D584" s="415"/>
    </row>
    <row r="585" spans="1:17" ht="15.5" x14ac:dyDescent="0.35">
      <c r="A585" s="368" t="s">
        <v>97</v>
      </c>
      <c r="B585" s="414" t="s">
        <v>1387</v>
      </c>
      <c r="C585" s="376">
        <v>1.161</v>
      </c>
      <c r="D585" s="24"/>
      <c r="E585" s="24"/>
      <c r="F585" s="24"/>
      <c r="G585" s="24"/>
      <c r="H585" s="24"/>
      <c r="I585" s="24"/>
      <c r="J585" s="24"/>
      <c r="K585" s="259"/>
      <c r="L585" s="24"/>
      <c r="M585" s="24"/>
      <c r="N585" s="24"/>
      <c r="O585" s="24"/>
      <c r="P585" s="24"/>
      <c r="Q585" s="24"/>
    </row>
    <row r="586" spans="1:17" ht="15.5" x14ac:dyDescent="0.35">
      <c r="A586" s="24"/>
      <c r="B586" s="24"/>
      <c r="C586" s="24"/>
    </row>
    <row r="587" spans="1:17" ht="16" thickBot="1" x14ac:dyDescent="0.4">
      <c r="A587" s="24"/>
      <c r="B587" s="24"/>
      <c r="C587" s="24"/>
    </row>
    <row r="588" spans="1:17" ht="24.75" customHeight="1" x14ac:dyDescent="0.35">
      <c r="B588" s="541" t="s">
        <v>628</v>
      </c>
      <c r="C588" s="542" t="s">
        <v>634</v>
      </c>
      <c r="E588" s="547" t="s">
        <v>1726</v>
      </c>
      <c r="F588" s="548" t="s">
        <v>1727</v>
      </c>
    </row>
    <row r="589" spans="1:17" ht="16" thickBot="1" x14ac:dyDescent="0.4">
      <c r="B589" s="543" t="s">
        <v>635</v>
      </c>
      <c r="C589" s="544">
        <v>4.2530000000000001</v>
      </c>
      <c r="E589" s="549">
        <f>0.24+0.05</f>
        <v>0.28999999999999998</v>
      </c>
      <c r="F589" s="550">
        <f>0.37+0.07+0.16</f>
        <v>0.6</v>
      </c>
    </row>
    <row r="590" spans="1:17" ht="15.5" x14ac:dyDescent="0.35">
      <c r="B590" s="543" t="s">
        <v>636</v>
      </c>
      <c r="C590" s="544">
        <v>4.8630000000000004</v>
      </c>
    </row>
    <row r="591" spans="1:17" ht="15.5" x14ac:dyDescent="0.35">
      <c r="B591" s="543" t="s">
        <v>637</v>
      </c>
      <c r="C591" s="544">
        <v>2.4900000000000002</v>
      </c>
    </row>
    <row r="592" spans="1:17" ht="15.5" x14ac:dyDescent="0.35">
      <c r="B592" s="543" t="s">
        <v>638</v>
      </c>
      <c r="C592" s="544">
        <v>4.2530000000000001</v>
      </c>
    </row>
    <row r="593" spans="1:17" ht="15.5" x14ac:dyDescent="0.35">
      <c r="B593" s="543" t="s">
        <v>639</v>
      </c>
      <c r="C593" s="544">
        <v>4.2530000000000001</v>
      </c>
    </row>
    <row r="594" spans="1:17" ht="15.5" x14ac:dyDescent="0.35">
      <c r="B594" s="543" t="s">
        <v>640</v>
      </c>
      <c r="C594" s="544">
        <v>1.792</v>
      </c>
    </row>
    <row r="595" spans="1:17" ht="15.5" x14ac:dyDescent="0.35">
      <c r="B595" s="543" t="s">
        <v>641</v>
      </c>
      <c r="C595" s="544">
        <v>1.792</v>
      </c>
    </row>
    <row r="596" spans="1:17" ht="15.5" x14ac:dyDescent="0.35">
      <c r="B596" s="360" t="s">
        <v>642</v>
      </c>
      <c r="C596" s="544">
        <v>1.792</v>
      </c>
    </row>
    <row r="597" spans="1:17" ht="15.5" x14ac:dyDescent="0.35">
      <c r="B597" s="360" t="s">
        <v>643</v>
      </c>
      <c r="C597" s="544">
        <v>1.792</v>
      </c>
    </row>
    <row r="598" spans="1:17" ht="15.5" x14ac:dyDescent="0.35">
      <c r="B598" s="543" t="s">
        <v>87</v>
      </c>
      <c r="C598" s="544">
        <v>1.792</v>
      </c>
    </row>
    <row r="599" spans="1:17" ht="15.5" x14ac:dyDescent="0.35">
      <c r="B599" s="543" t="s">
        <v>89</v>
      </c>
      <c r="C599" s="544">
        <v>0.67934040699999998</v>
      </c>
    </row>
    <row r="600" spans="1:17" ht="15.5" x14ac:dyDescent="0.35">
      <c r="B600" s="543" t="s">
        <v>90</v>
      </c>
      <c r="C600" s="544">
        <v>1.792</v>
      </c>
    </row>
    <row r="601" spans="1:17" ht="15.5" x14ac:dyDescent="0.35">
      <c r="B601" s="543" t="s">
        <v>91</v>
      </c>
      <c r="C601" s="544">
        <v>10.632999999999999</v>
      </c>
    </row>
    <row r="602" spans="1:17" ht="15.5" x14ac:dyDescent="0.35">
      <c r="B602" s="543" t="s">
        <v>92</v>
      </c>
      <c r="C602" s="544">
        <v>1.792</v>
      </c>
    </row>
    <row r="603" spans="1:17" ht="15.5" x14ac:dyDescent="0.35">
      <c r="B603" s="543" t="s">
        <v>93</v>
      </c>
      <c r="C603" s="544">
        <v>1.792</v>
      </c>
    </row>
    <row r="604" spans="1:17" ht="15.5" x14ac:dyDescent="0.35">
      <c r="B604" s="543" t="s">
        <v>94</v>
      </c>
      <c r="C604" s="544">
        <v>0.67934040699999998</v>
      </c>
    </row>
    <row r="605" spans="1:17" ht="15.5" x14ac:dyDescent="0.35">
      <c r="B605" s="543" t="s">
        <v>95</v>
      </c>
      <c r="C605" s="544">
        <v>0.94266000000000005</v>
      </c>
    </row>
    <row r="606" spans="1:17" ht="15.5" x14ac:dyDescent="0.35">
      <c r="B606" s="543" t="s">
        <v>644</v>
      </c>
      <c r="C606" s="544">
        <v>0.72389999999999999</v>
      </c>
    </row>
    <row r="607" spans="1:17" s="24" customFormat="1" ht="16" thickBot="1" x14ac:dyDescent="0.4">
      <c r="A607"/>
      <c r="B607" s="545" t="s">
        <v>97</v>
      </c>
      <c r="C607" s="546">
        <v>1.161</v>
      </c>
      <c r="D607"/>
      <c r="E607"/>
      <c r="F607"/>
      <c r="G607"/>
      <c r="H607"/>
      <c r="I607"/>
      <c r="J607"/>
      <c r="K607"/>
      <c r="L607"/>
      <c r="M607"/>
      <c r="N607"/>
      <c r="O607"/>
      <c r="P607"/>
      <c r="Q607"/>
    </row>
    <row r="608" spans="1:17" s="24" customFormat="1" ht="15.5" x14ac:dyDescent="0.35">
      <c r="A608" s="380" t="s">
        <v>1388</v>
      </c>
      <c r="D608" s="415"/>
      <c r="J608" s="259"/>
    </row>
    <row r="609" spans="1:10" s="24" customFormat="1" ht="15.5" x14ac:dyDescent="0.35">
      <c r="A609" s="24" t="s">
        <v>1389</v>
      </c>
      <c r="J609" s="259"/>
    </row>
    <row r="610" spans="1:10" s="24" customFormat="1" ht="15.5" x14ac:dyDescent="0.35">
      <c r="A610" s="24" t="s">
        <v>1390</v>
      </c>
      <c r="J610" s="259"/>
    </row>
    <row r="611" spans="1:10" s="24" customFormat="1" ht="15.5" x14ac:dyDescent="0.35">
      <c r="A611" s="24" t="s">
        <v>1391</v>
      </c>
      <c r="J611" s="259"/>
    </row>
    <row r="612" spans="1:10" s="24" customFormat="1" ht="15.5" x14ac:dyDescent="0.35">
      <c r="A612" s="24" t="s">
        <v>1392</v>
      </c>
      <c r="J612" s="259"/>
    </row>
    <row r="613" spans="1:10" s="24" customFormat="1" ht="15.5" x14ac:dyDescent="0.35">
      <c r="A613" s="24" t="s">
        <v>1393</v>
      </c>
      <c r="J613" s="259"/>
    </row>
    <row r="614" spans="1:10" s="24" customFormat="1" ht="15.5" x14ac:dyDescent="0.35">
      <c r="J614" s="259"/>
    </row>
    <row r="615" spans="1:10" s="24" customFormat="1" ht="15.5" x14ac:dyDescent="0.35">
      <c r="J615" s="259"/>
    </row>
    <row r="616" spans="1:10" s="24" customFormat="1" ht="47" thickBot="1" x14ac:dyDescent="0.4">
      <c r="E616" s="551" t="s">
        <v>628</v>
      </c>
      <c r="F616" s="551" t="s">
        <v>1733</v>
      </c>
      <c r="G616" s="551" t="s">
        <v>1734</v>
      </c>
      <c r="H616" s="251"/>
      <c r="J616" s="259"/>
    </row>
    <row r="617" spans="1:10" s="24" customFormat="1" ht="26" x14ac:dyDescent="0.35">
      <c r="E617" s="552" t="s">
        <v>1730</v>
      </c>
      <c r="F617" s="552" t="s">
        <v>1741</v>
      </c>
      <c r="G617" s="555">
        <v>1.2197</v>
      </c>
      <c r="H617" s="254" t="s">
        <v>1735</v>
      </c>
      <c r="J617" s="259"/>
    </row>
    <row r="618" spans="1:10" s="24" customFormat="1" ht="26" x14ac:dyDescent="0.35">
      <c r="E618" s="553" t="s">
        <v>1731</v>
      </c>
      <c r="F618" s="553" t="s">
        <v>1736</v>
      </c>
      <c r="G618" s="553">
        <v>21.76</v>
      </c>
      <c r="H618" s="254" t="s">
        <v>1737</v>
      </c>
      <c r="J618" s="259"/>
    </row>
    <row r="619" spans="1:10" s="24" customFormat="1" ht="26.5" thickBot="1" x14ac:dyDescent="0.4">
      <c r="E619" s="554" t="s">
        <v>1732</v>
      </c>
      <c r="F619" s="554" t="s">
        <v>1738</v>
      </c>
      <c r="G619" s="554">
        <v>5.6535000000000002</v>
      </c>
      <c r="H619" s="254" t="s">
        <v>1739</v>
      </c>
      <c r="J619" s="259"/>
    </row>
    <row r="620" spans="1:10" s="24" customFormat="1" ht="15.5" x14ac:dyDescent="0.35">
      <c r="E620" s="251"/>
      <c r="F620" s="251"/>
      <c r="G620" s="251"/>
      <c r="H620" s="251"/>
      <c r="J620" s="259"/>
    </row>
    <row r="621" spans="1:10" s="24" customFormat="1" ht="15.5" x14ac:dyDescent="0.35">
      <c r="E621" s="251"/>
      <c r="F621" s="251"/>
      <c r="G621" s="251"/>
      <c r="H621" s="251"/>
      <c r="J621" s="259"/>
    </row>
    <row r="622" spans="1:10" s="24" customFormat="1" ht="15.5" x14ac:dyDescent="0.35">
      <c r="E622" s="251"/>
      <c r="F622" s="251"/>
      <c r="G622" s="251"/>
      <c r="H622" s="251"/>
      <c r="J622" s="259"/>
    </row>
    <row r="623" spans="1:10" s="24" customFormat="1" ht="15.5" x14ac:dyDescent="0.35">
      <c r="E623" s="251"/>
      <c r="F623" s="251"/>
      <c r="G623" s="251"/>
      <c r="H623" s="251"/>
      <c r="J623" s="259"/>
    </row>
    <row r="624" spans="1:10" s="24" customFormat="1" ht="15.5" x14ac:dyDescent="0.35">
      <c r="J624" s="259"/>
    </row>
    <row r="625" spans="1:17" ht="15.5" x14ac:dyDescent="0.35">
      <c r="A625" s="24"/>
      <c r="B625" s="24"/>
      <c r="C625" s="24"/>
      <c r="D625" s="24"/>
      <c r="E625" s="24"/>
      <c r="F625" s="24"/>
      <c r="G625" s="24"/>
      <c r="H625" s="24"/>
      <c r="I625" s="24"/>
      <c r="J625" s="259"/>
      <c r="K625" s="24"/>
      <c r="L625" s="24"/>
      <c r="M625" s="24"/>
      <c r="N625" s="24"/>
      <c r="O625" s="24"/>
      <c r="P625" s="24"/>
      <c r="Q625" s="24"/>
    </row>
    <row r="626" spans="1:17" x14ac:dyDescent="0.35">
      <c r="A626" s="6" t="s">
        <v>1740</v>
      </c>
    </row>
    <row r="628" spans="1:17" ht="23.5" x14ac:dyDescent="0.55000000000000004">
      <c r="A628" s="1651" t="s">
        <v>1808</v>
      </c>
      <c r="B628" s="1652"/>
      <c r="C628" s="1652"/>
      <c r="D628" s="1652"/>
      <c r="E628" s="1652"/>
      <c r="F628" s="1652"/>
      <c r="G628" s="1652"/>
      <c r="H628" s="1652"/>
      <c r="I628" s="1652"/>
      <c r="J628" s="1652"/>
      <c r="K628" s="1652"/>
      <c r="L628" s="1652"/>
      <c r="M628" s="1652"/>
      <c r="N628" s="1652"/>
      <c r="O628" s="1652"/>
      <c r="P628" s="1652"/>
      <c r="Q628" s="1653"/>
    </row>
    <row r="630" spans="1:17" x14ac:dyDescent="0.35">
      <c r="A630" s="6" t="s">
        <v>1394</v>
      </c>
    </row>
    <row r="631" spans="1:17" ht="15" thickBot="1" x14ac:dyDescent="0.4">
      <c r="A631" s="508" t="s">
        <v>1774</v>
      </c>
    </row>
    <row r="632" spans="1:17" ht="58.5" thickBot="1" x14ac:dyDescent="0.4">
      <c r="A632" s="517" t="s">
        <v>1775</v>
      </c>
      <c r="B632" s="518" t="s">
        <v>1776</v>
      </c>
      <c r="C632" s="518" t="s">
        <v>1777</v>
      </c>
      <c r="E632" s="95" t="s">
        <v>889</v>
      </c>
      <c r="F632" s="91" t="s">
        <v>891</v>
      </c>
    </row>
    <row r="633" spans="1:17" ht="15" thickBot="1" x14ac:dyDescent="0.4">
      <c r="A633" s="509" t="s">
        <v>1396</v>
      </c>
      <c r="B633" s="510">
        <v>1.6</v>
      </c>
      <c r="C633" s="510">
        <v>0.36</v>
      </c>
      <c r="E633" s="266">
        <v>0.05</v>
      </c>
      <c r="F633" s="267">
        <v>0.02</v>
      </c>
    </row>
    <row r="634" spans="1:17" ht="15" thickBot="1" x14ac:dyDescent="0.4">
      <c r="A634" s="509" t="s">
        <v>1397</v>
      </c>
      <c r="B634" s="510">
        <v>1.3</v>
      </c>
      <c r="C634" s="510">
        <v>0.33</v>
      </c>
    </row>
    <row r="635" spans="1:17" ht="15" thickBot="1" x14ac:dyDescent="0.4">
      <c r="A635" s="509" t="s">
        <v>1398</v>
      </c>
      <c r="B635" s="510">
        <v>0.2</v>
      </c>
      <c r="C635" s="510">
        <v>0.39</v>
      </c>
    </row>
    <row r="637" spans="1:17" ht="15" thickBot="1" x14ac:dyDescent="0.4">
      <c r="A637" s="508" t="s">
        <v>1778</v>
      </c>
    </row>
    <row r="638" spans="1:17" ht="31.5" thickBot="1" x14ac:dyDescent="0.4">
      <c r="A638" s="517" t="s">
        <v>1395</v>
      </c>
      <c r="B638" s="518" t="s">
        <v>1776</v>
      </c>
      <c r="C638" s="518" t="s">
        <v>1777</v>
      </c>
    </row>
    <row r="639" spans="1:17" ht="15" thickBot="1" x14ac:dyDescent="0.4">
      <c r="A639" s="509" t="s">
        <v>1779</v>
      </c>
      <c r="B639" s="510">
        <v>2.1</v>
      </c>
      <c r="C639" s="510">
        <v>0.5</v>
      </c>
    </row>
    <row r="640" spans="1:17" ht="15" thickBot="1" x14ac:dyDescent="0.4">
      <c r="A640" s="509" t="s">
        <v>1780</v>
      </c>
      <c r="B640" s="510">
        <v>3.3</v>
      </c>
      <c r="C640" s="510">
        <v>0.09</v>
      </c>
    </row>
    <row r="641" spans="1:3" ht="15" thickBot="1" x14ac:dyDescent="0.4">
      <c r="A641" s="509" t="s">
        <v>1781</v>
      </c>
      <c r="B641" s="510">
        <v>1.6</v>
      </c>
      <c r="C641" s="510">
        <v>0.24</v>
      </c>
    </row>
    <row r="642" spans="1:3" ht="15" thickBot="1" x14ac:dyDescent="0.4">
      <c r="A642" s="509" t="s">
        <v>727</v>
      </c>
      <c r="B642" s="510">
        <v>0.7</v>
      </c>
      <c r="C642" s="510">
        <v>0.15</v>
      </c>
    </row>
    <row r="643" spans="1:3" ht="15" thickBot="1" x14ac:dyDescent="0.4">
      <c r="A643" s="509" t="s">
        <v>1782</v>
      </c>
      <c r="B643" s="510">
        <v>2</v>
      </c>
      <c r="C643" s="510">
        <v>0.14000000000000001</v>
      </c>
    </row>
    <row r="644" spans="1:3" ht="15" thickBot="1" x14ac:dyDescent="0.4">
      <c r="A644" s="509" t="s">
        <v>1783</v>
      </c>
      <c r="B644" s="510">
        <v>0.4</v>
      </c>
      <c r="C644" s="510">
        <v>0.72</v>
      </c>
    </row>
    <row r="645" spans="1:3" ht="15" thickBot="1" x14ac:dyDescent="0.4">
      <c r="A645" s="509" t="s">
        <v>1784</v>
      </c>
      <c r="B645" s="510">
        <v>2</v>
      </c>
      <c r="C645" s="510">
        <v>0.39</v>
      </c>
    </row>
    <row r="646" spans="1:3" ht="15" thickBot="1" x14ac:dyDescent="0.4">
      <c r="A646" s="509" t="s">
        <v>1785</v>
      </c>
      <c r="B646" s="510">
        <v>3.3</v>
      </c>
      <c r="C646" s="510">
        <v>0.14000000000000001</v>
      </c>
    </row>
    <row r="647" spans="1:3" ht="29.5" thickBot="1" x14ac:dyDescent="0.4">
      <c r="A647" s="509" t="s">
        <v>1786</v>
      </c>
      <c r="B647" s="510" t="s">
        <v>1787</v>
      </c>
      <c r="C647" s="510">
        <v>0.42</v>
      </c>
    </row>
    <row r="649" spans="1:3" ht="15" thickBot="1" x14ac:dyDescent="0.4">
      <c r="A649" s="508" t="s">
        <v>1788</v>
      </c>
    </row>
    <row r="650" spans="1:3" ht="17" thickBot="1" x14ac:dyDescent="0.4">
      <c r="A650" s="574" t="s">
        <v>1789</v>
      </c>
      <c r="B650" s="575" t="s">
        <v>1790</v>
      </c>
    </row>
    <row r="651" spans="1:3" ht="15" thickBot="1" x14ac:dyDescent="0.4">
      <c r="A651" s="509" t="s">
        <v>1791</v>
      </c>
      <c r="B651" s="510">
        <v>4.5999999999999999E-2</v>
      </c>
    </row>
    <row r="652" spans="1:3" ht="15" thickBot="1" x14ac:dyDescent="0.4">
      <c r="A652" s="509" t="s">
        <v>1792</v>
      </c>
      <c r="B652" s="510">
        <v>2.8000000000000001E-2</v>
      </c>
    </row>
    <row r="654" spans="1:3" x14ac:dyDescent="0.35">
      <c r="A654" s="6" t="s">
        <v>1796</v>
      </c>
    </row>
    <row r="656" spans="1:3" ht="15" thickBot="1" x14ac:dyDescent="0.4"/>
    <row r="657" spans="1:17" ht="15.5" thickBot="1" x14ac:dyDescent="0.4">
      <c r="A657" s="59"/>
      <c r="B657" s="1734" t="s">
        <v>1399</v>
      </c>
      <c r="C657" s="1735"/>
      <c r="D657" s="1735"/>
      <c r="E657" s="1735"/>
      <c r="F657" s="1735"/>
      <c r="G657" s="1736"/>
    </row>
    <row r="658" spans="1:17" ht="52.5" thickBot="1" x14ac:dyDescent="0.4">
      <c r="A658" s="60" t="s">
        <v>713</v>
      </c>
      <c r="B658" s="61" t="s">
        <v>1400</v>
      </c>
      <c r="C658" s="61" t="s">
        <v>1401</v>
      </c>
      <c r="D658" s="61" t="s">
        <v>1402</v>
      </c>
      <c r="E658" s="61" t="s">
        <v>1403</v>
      </c>
      <c r="F658" s="61" t="s">
        <v>1404</v>
      </c>
      <c r="G658" s="62" t="s">
        <v>1405</v>
      </c>
    </row>
    <row r="659" spans="1:17" x14ac:dyDescent="0.35">
      <c r="A659" s="63" t="s">
        <v>1406</v>
      </c>
      <c r="B659" s="64">
        <v>0.09</v>
      </c>
      <c r="C659" s="65">
        <v>0.68</v>
      </c>
      <c r="D659" s="64">
        <v>0.11</v>
      </c>
      <c r="E659" s="66" t="s">
        <v>146</v>
      </c>
      <c r="F659" s="66" t="s">
        <v>146</v>
      </c>
      <c r="G659" s="67" t="s">
        <v>146</v>
      </c>
    </row>
    <row r="660" spans="1:17" x14ac:dyDescent="0.35">
      <c r="A660" s="2" t="s">
        <v>1407</v>
      </c>
    </row>
    <row r="662" spans="1:17" ht="23.5" x14ac:dyDescent="0.55000000000000004">
      <c r="A662" s="1731" t="s">
        <v>1807</v>
      </c>
      <c r="B662" s="1732"/>
      <c r="C662" s="1732"/>
      <c r="D662" s="1732"/>
      <c r="E662" s="1732"/>
      <c r="F662" s="1732"/>
      <c r="G662" s="1732"/>
      <c r="H662" s="1732"/>
      <c r="I662" s="1732"/>
      <c r="J662" s="1732"/>
      <c r="K662" s="1732"/>
      <c r="L662" s="1732"/>
      <c r="M662" s="1732"/>
      <c r="N662" s="1732"/>
      <c r="O662" s="1732"/>
      <c r="P662" s="1732"/>
      <c r="Q662" s="1733"/>
    </row>
    <row r="663" spans="1:17" x14ac:dyDescent="0.35">
      <c r="A663" s="10"/>
    </row>
    <row r="664" spans="1:17" ht="38.5" thickBot="1" x14ac:dyDescent="0.4">
      <c r="A664" s="576" t="s">
        <v>1700</v>
      </c>
      <c r="B664" s="577" t="s">
        <v>1804</v>
      </c>
      <c r="C664" s="577" t="s">
        <v>1805</v>
      </c>
    </row>
    <row r="665" spans="1:17" ht="19.5" thickBot="1" x14ac:dyDescent="0.4">
      <c r="A665" s="578" t="s">
        <v>1802</v>
      </c>
      <c r="B665" s="579">
        <v>0.95</v>
      </c>
      <c r="C665" s="580">
        <v>0.34</v>
      </c>
    </row>
    <row r="666" spans="1:17" ht="20" thickTop="1" thickBot="1" x14ac:dyDescent="0.4">
      <c r="A666" s="578" t="s">
        <v>904</v>
      </c>
      <c r="B666" s="579">
        <v>0.95</v>
      </c>
      <c r="C666" s="580">
        <v>0.2</v>
      </c>
    </row>
    <row r="667" spans="1:17" ht="20" thickTop="1" thickBot="1" x14ac:dyDescent="0.4">
      <c r="A667" s="581" t="s">
        <v>910</v>
      </c>
      <c r="B667" s="579">
        <v>0.95</v>
      </c>
      <c r="C667" s="582">
        <v>0.11</v>
      </c>
    </row>
    <row r="668" spans="1:17" ht="15" thickTop="1" x14ac:dyDescent="0.35"/>
    <row r="669" spans="1:17" s="6" customFormat="1" x14ac:dyDescent="0.35">
      <c r="A669" s="6" t="s">
        <v>1803</v>
      </c>
      <c r="B669"/>
      <c r="C669"/>
      <c r="D669"/>
      <c r="E669"/>
      <c r="F669"/>
      <c r="G669"/>
      <c r="H669"/>
      <c r="I669"/>
      <c r="J669"/>
      <c r="K669"/>
      <c r="L669"/>
      <c r="M669"/>
      <c r="N669"/>
      <c r="O669"/>
      <c r="P669"/>
      <c r="Q669"/>
    </row>
    <row r="670" spans="1:17" ht="15" thickBot="1" x14ac:dyDescent="0.4">
      <c r="A670" s="6" t="s">
        <v>1806</v>
      </c>
      <c r="B670" s="6"/>
      <c r="C670" s="6"/>
      <c r="D670" s="6"/>
      <c r="E670" s="6"/>
      <c r="F670" s="6"/>
      <c r="G670" s="6"/>
      <c r="H670" s="6"/>
      <c r="I670" s="6"/>
      <c r="J670" s="6"/>
      <c r="K670" s="6"/>
      <c r="L670" s="6"/>
      <c r="M670" s="6"/>
      <c r="N670" s="6"/>
      <c r="O670" s="6"/>
      <c r="P670" s="6"/>
      <c r="Q670" s="6"/>
    </row>
    <row r="671" spans="1:17" ht="15" thickBot="1" x14ac:dyDescent="0.4">
      <c r="A671" s="498" t="s">
        <v>1694</v>
      </c>
      <c r="B671" s="499" t="s">
        <v>1695</v>
      </c>
      <c r="D671" s="531" t="s">
        <v>1700</v>
      </c>
      <c r="E671" s="532" t="s">
        <v>1703</v>
      </c>
      <c r="F671" s="531" t="s">
        <v>1704</v>
      </c>
    </row>
    <row r="672" spans="1:17" x14ac:dyDescent="0.35">
      <c r="A672" s="501" t="s">
        <v>48</v>
      </c>
      <c r="B672" s="502">
        <f>B86</f>
        <v>1.87</v>
      </c>
      <c r="D672" s="533" t="s">
        <v>1701</v>
      </c>
      <c r="E672" s="502">
        <f t="shared" ref="E672:F674" si="1">E86</f>
        <v>22.5</v>
      </c>
      <c r="F672" s="502">
        <f t="shared" si="1"/>
        <v>9.5657399999999999</v>
      </c>
    </row>
    <row r="673" spans="1:17" x14ac:dyDescent="0.35">
      <c r="A673" s="504" t="s">
        <v>46</v>
      </c>
      <c r="B673" s="502">
        <f>B87</f>
        <v>2.0699999999999998</v>
      </c>
      <c r="D673" s="533" t="s">
        <v>1705</v>
      </c>
      <c r="E673" s="502">
        <f t="shared" si="1"/>
        <v>16.2</v>
      </c>
      <c r="F673" s="502">
        <f t="shared" si="1"/>
        <v>6.8873328000000003</v>
      </c>
    </row>
    <row r="674" spans="1:17" x14ac:dyDescent="0.35">
      <c r="A674" s="525" t="s">
        <v>45</v>
      </c>
      <c r="B674" s="502">
        <f>B88</f>
        <v>0.7</v>
      </c>
      <c r="D674" s="533" t="s">
        <v>1706</v>
      </c>
      <c r="E674" s="502">
        <f t="shared" si="1"/>
        <v>8.8000000000000007</v>
      </c>
      <c r="F674" s="502">
        <f t="shared" si="1"/>
        <v>3.7412672000000007</v>
      </c>
    </row>
    <row r="675" spans="1:17" x14ac:dyDescent="0.35">
      <c r="A675" s="527"/>
      <c r="B675" s="528"/>
    </row>
    <row r="676" spans="1:17" x14ac:dyDescent="0.35">
      <c r="A676" t="s">
        <v>1112</v>
      </c>
      <c r="B676" s="530"/>
      <c r="D676" s="162" t="s">
        <v>1707</v>
      </c>
    </row>
    <row r="677" spans="1:17" s="6" customFormat="1" x14ac:dyDescent="0.35">
      <c r="A677" s="208" t="s">
        <v>1113</v>
      </c>
      <c r="B677" s="530"/>
      <c r="C677"/>
      <c r="D677"/>
      <c r="E677"/>
      <c r="F677"/>
      <c r="G677"/>
      <c r="H677"/>
      <c r="I677"/>
      <c r="J677"/>
      <c r="K677"/>
      <c r="L677"/>
      <c r="M677"/>
      <c r="N677"/>
      <c r="O677"/>
      <c r="P677"/>
      <c r="Q677"/>
    </row>
    <row r="678" spans="1:17" x14ac:dyDescent="0.35">
      <c r="A678" s="6"/>
      <c r="B678" s="6"/>
      <c r="C678" s="6"/>
      <c r="D678" s="6"/>
      <c r="E678" s="6"/>
      <c r="F678" s="6"/>
      <c r="G678" s="6"/>
      <c r="H678" s="6"/>
      <c r="I678" s="6"/>
      <c r="J678" s="6"/>
      <c r="K678" s="6"/>
      <c r="L678" s="6"/>
      <c r="M678" s="6"/>
      <c r="N678" s="6"/>
      <c r="O678" s="6"/>
      <c r="P678" s="6"/>
      <c r="Q678" s="6"/>
    </row>
    <row r="679" spans="1:17" ht="15" thickBot="1" x14ac:dyDescent="0.4">
      <c r="A679" s="272" t="s">
        <v>1083</v>
      </c>
    </row>
    <row r="680" spans="1:17" x14ac:dyDescent="0.35">
      <c r="A680" s="1711" t="s">
        <v>1058</v>
      </c>
      <c r="B680" s="583" t="s">
        <v>1059</v>
      </c>
      <c r="C680" s="1636" t="s">
        <v>1060</v>
      </c>
      <c r="D680" s="1637"/>
      <c r="E680" s="1638"/>
    </row>
    <row r="681" spans="1:17" ht="15.75" customHeight="1" x14ac:dyDescent="0.35">
      <c r="A681" s="1712"/>
      <c r="B681" s="584" t="s">
        <v>1084</v>
      </c>
      <c r="C681" s="1639" t="s">
        <v>1061</v>
      </c>
      <c r="D681" s="1640"/>
      <c r="E681" s="1641"/>
    </row>
    <row r="682" spans="1:17" ht="15" thickBot="1" x14ac:dyDescent="0.4">
      <c r="A682" s="1712"/>
      <c r="B682" s="585"/>
      <c r="C682" s="1642" t="s">
        <v>1062</v>
      </c>
      <c r="D682" s="1643"/>
      <c r="E682" s="1644"/>
    </row>
    <row r="683" spans="1:17" ht="15" thickBot="1" x14ac:dyDescent="0.4">
      <c r="A683" s="1713"/>
      <c r="B683" s="586"/>
      <c r="C683" s="587" t="s">
        <v>1063</v>
      </c>
      <c r="D683" s="587" t="s">
        <v>1064</v>
      </c>
      <c r="E683" s="587" t="s">
        <v>1065</v>
      </c>
    </row>
    <row r="684" spans="1:17" ht="20.5" thickBot="1" x14ac:dyDescent="0.4">
      <c r="A684" s="276" t="s">
        <v>1085</v>
      </c>
      <c r="B684" s="277">
        <v>38.799999999999997</v>
      </c>
      <c r="C684" s="277">
        <v>13.9</v>
      </c>
      <c r="D684" s="277">
        <v>0</v>
      </c>
      <c r="E684" s="277">
        <v>0</v>
      </c>
    </row>
    <row r="685" spans="1:17" ht="15" thickBot="1" x14ac:dyDescent="0.4">
      <c r="A685" s="276" t="s">
        <v>1086</v>
      </c>
      <c r="B685" s="277">
        <v>38.799999999999997</v>
      </c>
      <c r="C685" s="277">
        <v>3.5</v>
      </c>
      <c r="D685" s="277">
        <v>0</v>
      </c>
      <c r="E685" s="277">
        <v>0</v>
      </c>
    </row>
    <row r="686" spans="1:17" ht="15" thickBot="1" x14ac:dyDescent="0.4">
      <c r="A686" s="276" t="s">
        <v>1087</v>
      </c>
      <c r="B686" s="277" t="s">
        <v>1088</v>
      </c>
      <c r="C686" s="277">
        <v>69.599999999999994</v>
      </c>
      <c r="D686" s="277">
        <v>0.08</v>
      </c>
      <c r="E686" s="277">
        <v>0.2</v>
      </c>
    </row>
    <row r="687" spans="1:17" ht="15" thickBot="1" x14ac:dyDescent="0.4">
      <c r="A687" s="276" t="s">
        <v>1089</v>
      </c>
      <c r="B687" s="277" t="s">
        <v>1090</v>
      </c>
      <c r="C687" s="277">
        <v>61</v>
      </c>
      <c r="D687" s="277">
        <v>0.08</v>
      </c>
      <c r="E687" s="277">
        <v>0.2</v>
      </c>
    </row>
    <row r="688" spans="1:17" ht="15" thickBot="1" x14ac:dyDescent="0.4">
      <c r="A688" s="588" t="s">
        <v>1091</v>
      </c>
      <c r="B688" s="589">
        <v>34.200000000000003</v>
      </c>
      <c r="C688" s="589">
        <v>67.400000000000006</v>
      </c>
      <c r="D688" s="589">
        <v>0.2</v>
      </c>
      <c r="E688" s="589">
        <v>0.2</v>
      </c>
    </row>
    <row r="689" spans="1:5" ht="15" thickBot="1" x14ac:dyDescent="0.4">
      <c r="A689" s="276" t="s">
        <v>1092</v>
      </c>
      <c r="B689" s="277">
        <v>33.1</v>
      </c>
      <c r="C689" s="277">
        <v>67</v>
      </c>
      <c r="D689" s="277">
        <v>0.2</v>
      </c>
      <c r="E689" s="277">
        <v>0.2</v>
      </c>
    </row>
    <row r="690" spans="1:5" ht="15" thickBot="1" x14ac:dyDescent="0.4">
      <c r="A690" s="276" t="s">
        <v>1093</v>
      </c>
      <c r="B690" s="277">
        <v>37.5</v>
      </c>
      <c r="C690" s="277">
        <v>68.900000000000006</v>
      </c>
      <c r="D690" s="277">
        <v>0.01</v>
      </c>
      <c r="E690" s="277">
        <v>0.2</v>
      </c>
    </row>
    <row r="691" spans="1:5" ht="20.5" thickBot="1" x14ac:dyDescent="0.4">
      <c r="A691" s="276" t="s">
        <v>1094</v>
      </c>
      <c r="B691" s="277">
        <v>36.799999999999997</v>
      </c>
      <c r="C691" s="277">
        <v>69.599999999999994</v>
      </c>
      <c r="D691" s="277">
        <v>0.02</v>
      </c>
      <c r="E691" s="277">
        <v>0.2</v>
      </c>
    </row>
    <row r="692" spans="1:5" ht="15" thickBot="1" x14ac:dyDescent="0.4">
      <c r="A692" s="276" t="s">
        <v>1095</v>
      </c>
      <c r="B692" s="277">
        <v>37.299999999999997</v>
      </c>
      <c r="C692" s="277">
        <v>69.5</v>
      </c>
      <c r="D692" s="277">
        <v>0.03</v>
      </c>
      <c r="E692" s="277">
        <v>0.2</v>
      </c>
    </row>
    <row r="693" spans="1:5" ht="15" thickBot="1" x14ac:dyDescent="0.4">
      <c r="A693" s="276" t="s">
        <v>1096</v>
      </c>
      <c r="B693" s="277">
        <v>38.6</v>
      </c>
      <c r="C693" s="277">
        <v>69.900000000000006</v>
      </c>
      <c r="D693" s="277">
        <v>0.1</v>
      </c>
      <c r="E693" s="277">
        <v>0.2</v>
      </c>
    </row>
    <row r="694" spans="1:5" ht="15" thickBot="1" x14ac:dyDescent="0.4">
      <c r="A694" s="276" t="s">
        <v>1097</v>
      </c>
      <c r="B694" s="277">
        <v>39.700000000000003</v>
      </c>
      <c r="C694" s="277">
        <v>73.599999999999994</v>
      </c>
      <c r="D694" s="277">
        <v>0.04</v>
      </c>
      <c r="E694" s="277">
        <v>0.2</v>
      </c>
    </row>
    <row r="695" spans="1:5" ht="15" thickBot="1" x14ac:dyDescent="0.4">
      <c r="A695" s="276" t="s">
        <v>1098</v>
      </c>
      <c r="B695" s="277">
        <v>34.4</v>
      </c>
      <c r="C695" s="277">
        <v>69.7</v>
      </c>
      <c r="D695" s="277">
        <v>0.03</v>
      </c>
      <c r="E695" s="277">
        <v>0.2</v>
      </c>
    </row>
    <row r="696" spans="1:5" ht="15" thickBot="1" x14ac:dyDescent="0.4">
      <c r="A696" s="276" t="s">
        <v>1099</v>
      </c>
      <c r="B696" s="277">
        <v>34.4</v>
      </c>
      <c r="C696" s="277">
        <v>69.7</v>
      </c>
      <c r="D696" s="277">
        <v>0.03</v>
      </c>
      <c r="E696" s="277">
        <v>0.2</v>
      </c>
    </row>
    <row r="697" spans="1:5" ht="15" thickBot="1" x14ac:dyDescent="0.4">
      <c r="A697" s="276" t="s">
        <v>1100</v>
      </c>
      <c r="B697" s="277">
        <v>25.7</v>
      </c>
      <c r="C697" s="277">
        <v>60.2</v>
      </c>
      <c r="D697" s="277">
        <v>0.2</v>
      </c>
      <c r="E697" s="277">
        <v>0.2</v>
      </c>
    </row>
    <row r="698" spans="1:5" ht="15" thickBot="1" x14ac:dyDescent="0.4">
      <c r="A698" s="276" t="s">
        <v>1101</v>
      </c>
      <c r="B698" s="277">
        <v>31.4</v>
      </c>
      <c r="C698" s="277">
        <v>69.8</v>
      </c>
      <c r="D698" s="277">
        <v>0.01</v>
      </c>
      <c r="E698" s="277">
        <v>0.01</v>
      </c>
    </row>
    <row r="699" spans="1:5" ht="15" thickBot="1" x14ac:dyDescent="0.4">
      <c r="A699" s="276" t="s">
        <v>1102</v>
      </c>
      <c r="B699" s="277" t="s">
        <v>1103</v>
      </c>
      <c r="C699" s="277">
        <v>92.6</v>
      </c>
      <c r="D699" s="277">
        <v>0.08</v>
      </c>
      <c r="E699" s="277">
        <v>0.2</v>
      </c>
    </row>
    <row r="700" spans="1:5" ht="15" thickBot="1" x14ac:dyDescent="0.4">
      <c r="A700" s="276" t="s">
        <v>1104</v>
      </c>
      <c r="B700" s="277" t="s">
        <v>1105</v>
      </c>
      <c r="C700" s="277">
        <v>54.7</v>
      </c>
      <c r="D700" s="277">
        <v>0.03</v>
      </c>
      <c r="E700" s="277">
        <v>0.03</v>
      </c>
    </row>
    <row r="701" spans="1:5" ht="15" thickBot="1" x14ac:dyDescent="0.4">
      <c r="A701" s="276" t="s">
        <v>1106</v>
      </c>
      <c r="B701" s="277" t="s">
        <v>1103</v>
      </c>
      <c r="C701" s="277">
        <v>92.6</v>
      </c>
      <c r="D701" s="277">
        <v>0.08</v>
      </c>
      <c r="E701" s="277">
        <v>0.2</v>
      </c>
    </row>
    <row r="702" spans="1:5" ht="20.5" thickBot="1" x14ac:dyDescent="0.4">
      <c r="A702" s="276" t="s">
        <v>1107</v>
      </c>
      <c r="B702" s="277">
        <v>34.4</v>
      </c>
      <c r="C702" s="277">
        <v>69.8</v>
      </c>
      <c r="D702" s="277">
        <v>0.02</v>
      </c>
      <c r="E702" s="277">
        <v>0.1</v>
      </c>
    </row>
    <row r="703" spans="1:5" ht="15" thickBot="1" x14ac:dyDescent="0.4">
      <c r="A703" s="276" t="s">
        <v>1108</v>
      </c>
      <c r="B703" s="277">
        <v>34.6</v>
      </c>
      <c r="C703" s="277">
        <v>0</v>
      </c>
      <c r="D703" s="277">
        <v>0.08</v>
      </c>
      <c r="E703" s="277">
        <v>0.2</v>
      </c>
    </row>
    <row r="704" spans="1:5" ht="20.5" thickBot="1" x14ac:dyDescent="0.4">
      <c r="A704" s="276" t="s">
        <v>1109</v>
      </c>
      <c r="B704" s="277">
        <v>23.4</v>
      </c>
      <c r="C704" s="277">
        <v>0</v>
      </c>
      <c r="D704" s="277">
        <v>0.08</v>
      </c>
      <c r="E704" s="277">
        <v>0.2</v>
      </c>
    </row>
    <row r="705" spans="1:20" ht="20.5" thickBot="1" x14ac:dyDescent="0.4">
      <c r="A705" s="276" t="s">
        <v>1110</v>
      </c>
      <c r="B705" s="277">
        <v>23.4</v>
      </c>
      <c r="C705" s="277">
        <v>0</v>
      </c>
      <c r="D705" s="277">
        <v>0.08</v>
      </c>
      <c r="E705" s="277">
        <v>0.2</v>
      </c>
    </row>
    <row r="706" spans="1:20" x14ac:dyDescent="0.35">
      <c r="A706" s="245" t="s">
        <v>1078</v>
      </c>
      <c r="B706" s="275"/>
      <c r="C706" s="275"/>
    </row>
    <row r="707" spans="1:20" x14ac:dyDescent="0.35">
      <c r="A707" s="245"/>
      <c r="B707" s="275"/>
      <c r="C707" s="275"/>
    </row>
    <row r="708" spans="1:20" x14ac:dyDescent="0.35">
      <c r="A708" s="6" t="s">
        <v>1364</v>
      </c>
      <c r="B708" s="27"/>
      <c r="C708" s="27"/>
      <c r="D708" s="27"/>
      <c r="E708" s="27"/>
      <c r="F708" s="27"/>
      <c r="G708" s="27"/>
      <c r="H708" s="27"/>
      <c r="I708" s="27"/>
      <c r="L708" t="s">
        <v>1408</v>
      </c>
    </row>
    <row r="709" spans="1:20" ht="16.5" x14ac:dyDescent="0.35">
      <c r="A709" s="1728" t="s">
        <v>1265</v>
      </c>
      <c r="B709" s="1622"/>
      <c r="C709" s="165" t="s">
        <v>1157</v>
      </c>
      <c r="D709" s="166" t="s">
        <v>1266</v>
      </c>
      <c r="E709" s="167" t="s">
        <v>1267</v>
      </c>
      <c r="F709" s="167" t="s">
        <v>1268</v>
      </c>
      <c r="G709" s="167" t="s">
        <v>1269</v>
      </c>
      <c r="S709" s="174"/>
    </row>
    <row r="710" spans="1:20" x14ac:dyDescent="0.35">
      <c r="A710" s="1645" t="s">
        <v>1409</v>
      </c>
      <c r="B710" s="168" t="s">
        <v>48</v>
      </c>
      <c r="C710" s="168" t="s">
        <v>1283</v>
      </c>
      <c r="D710" s="169">
        <v>0.26465659660708307</v>
      </c>
      <c r="E710" s="170">
        <v>0.25306740115826976</v>
      </c>
      <c r="F710" s="170">
        <v>2.9794597211813567E-3</v>
      </c>
      <c r="G710" s="170">
        <v>8.6097357276319463E-3</v>
      </c>
      <c r="S710" s="177"/>
      <c r="T710" s="160"/>
    </row>
    <row r="711" spans="1:20" x14ac:dyDescent="0.35">
      <c r="A711" s="1646"/>
      <c r="B711" s="168" t="s">
        <v>46</v>
      </c>
      <c r="C711" s="168" t="s">
        <v>1283</v>
      </c>
      <c r="D711" s="169">
        <v>0.2702119459034516</v>
      </c>
      <c r="E711" s="170">
        <v>0.26562533940604049</v>
      </c>
      <c r="F711" s="171">
        <v>3.5500050289559562E-4</v>
      </c>
      <c r="G711" s="227">
        <v>4.2316059945154997E-3</v>
      </c>
      <c r="S711" s="177"/>
      <c r="T711" s="160"/>
    </row>
    <row r="712" spans="1:20" x14ac:dyDescent="0.35">
      <c r="A712" s="1646"/>
      <c r="B712" s="168" t="s">
        <v>904</v>
      </c>
      <c r="C712" s="168" t="s">
        <v>1283</v>
      </c>
      <c r="D712" s="169">
        <v>0.20139081670323039</v>
      </c>
      <c r="E712" s="170">
        <v>0.19257200180765863</v>
      </c>
      <c r="F712" s="170">
        <v>2.2672241473501733E-3</v>
      </c>
      <c r="G712" s="170">
        <v>6.5515907482215918E-3</v>
      </c>
      <c r="S712" s="177"/>
      <c r="T712" s="160"/>
    </row>
    <row r="713" spans="1:20" x14ac:dyDescent="0.35">
      <c r="A713" s="1646"/>
      <c r="B713" s="168" t="s">
        <v>905</v>
      </c>
      <c r="C713" s="168" t="s">
        <v>1283</v>
      </c>
      <c r="D713" s="169">
        <v>0.24222570864916576</v>
      </c>
      <c r="E713" s="170">
        <v>0.23811414353898652</v>
      </c>
      <c r="F713" s="171">
        <v>3.1823259366712349E-4</v>
      </c>
      <c r="G713" s="170">
        <v>3.7933325165121112E-3</v>
      </c>
      <c r="S713" s="177"/>
      <c r="T713" s="160"/>
    </row>
    <row r="714" spans="1:20" x14ac:dyDescent="0.35">
      <c r="A714" s="1646"/>
      <c r="B714" s="168" t="s">
        <v>906</v>
      </c>
      <c r="C714" s="168" t="s">
        <v>1283</v>
      </c>
      <c r="D714" s="169">
        <v>9.5709340974813109E-2</v>
      </c>
      <c r="E714" s="170">
        <v>9.1518271214776223E-2</v>
      </c>
      <c r="F714" s="170">
        <v>1.0774797606825878E-3</v>
      </c>
      <c r="G714" s="228">
        <v>3.1135899993542902E-3</v>
      </c>
      <c r="S714" s="177"/>
      <c r="T714" s="160"/>
    </row>
    <row r="715" spans="1:20" x14ac:dyDescent="0.35">
      <c r="A715" s="1646"/>
      <c r="B715" s="168" t="s">
        <v>907</v>
      </c>
      <c r="C715" s="168" t="s">
        <v>1283</v>
      </c>
      <c r="D715" s="169">
        <v>1.2261607162235328E-2</v>
      </c>
      <c r="E715" s="170">
        <v>1.1776042036317838E-2</v>
      </c>
      <c r="F715" s="170">
        <v>4.6873987196406478E-4</v>
      </c>
      <c r="G715" s="186">
        <v>1.6825253953425731E-5</v>
      </c>
      <c r="S715" s="177"/>
      <c r="T715" s="160"/>
    </row>
    <row r="716" spans="1:20" x14ac:dyDescent="0.35">
      <c r="A716" s="1646"/>
      <c r="B716" s="168" t="s">
        <v>908</v>
      </c>
      <c r="C716" s="168" t="s">
        <v>1283</v>
      </c>
      <c r="D716" s="169">
        <v>0.11572256077982236</v>
      </c>
      <c r="E716" s="170">
        <v>0.11375827364442151</v>
      </c>
      <c r="F716" s="171">
        <v>1.5203460800316271E-4</v>
      </c>
      <c r="G716" s="170">
        <v>1.8122525273976992E-3</v>
      </c>
      <c r="S716" s="177"/>
      <c r="T716" s="160"/>
    </row>
    <row r="717" spans="1:20" x14ac:dyDescent="0.35">
      <c r="A717" s="1646"/>
      <c r="B717" s="168" t="s">
        <v>909</v>
      </c>
      <c r="C717" s="168" t="s">
        <v>1283</v>
      </c>
      <c r="D717" s="169">
        <v>1.2307062964487865E-2</v>
      </c>
      <c r="E717" s="170">
        <v>1.1819697768477409E-2</v>
      </c>
      <c r="F717" s="170">
        <v>4.7047756806262365E-4</v>
      </c>
      <c r="G717" s="186">
        <v>1.6887627947832529E-5</v>
      </c>
      <c r="S717" s="177"/>
      <c r="T717" s="160"/>
    </row>
    <row r="718" spans="1:20" x14ac:dyDescent="0.35">
      <c r="A718" s="1647"/>
      <c r="B718" s="168" t="s">
        <v>910</v>
      </c>
      <c r="C718" s="168" t="s">
        <v>1283</v>
      </c>
      <c r="D718" s="169">
        <v>2.5723651389304884E-2</v>
      </c>
      <c r="E718" s="170">
        <v>2.4704983292974481E-2</v>
      </c>
      <c r="F718" s="170">
        <v>9.8337036076377228E-4</v>
      </c>
      <c r="G718" s="186">
        <v>3.5297735566627408E-5</v>
      </c>
      <c r="S718" s="177"/>
      <c r="T718" s="160"/>
    </row>
    <row r="719" spans="1:20" x14ac:dyDescent="0.35">
      <c r="A719" s="1645" t="s">
        <v>1410</v>
      </c>
      <c r="B719" s="168" t="s">
        <v>48</v>
      </c>
      <c r="C719" s="168" t="s">
        <v>1283</v>
      </c>
      <c r="D719" s="169">
        <v>0.21070874111622362</v>
      </c>
      <c r="E719" s="170">
        <v>0.20148189842696052</v>
      </c>
      <c r="F719" s="170">
        <v>2.3721237826868375E-3</v>
      </c>
      <c r="G719" s="170">
        <v>6.8547189065762681E-3</v>
      </c>
      <c r="S719" s="177"/>
      <c r="T719" s="160"/>
    </row>
    <row r="720" spans="1:20" x14ac:dyDescent="0.35">
      <c r="A720" s="1646"/>
      <c r="B720" s="168" t="s">
        <v>46</v>
      </c>
      <c r="C720" s="168" t="s">
        <v>1283</v>
      </c>
      <c r="D720" s="169">
        <v>0.2015891509280674</v>
      </c>
      <c r="E720" s="170">
        <v>0.19816735509900874</v>
      </c>
      <c r="F720" s="171">
        <v>2.6484487841011442E-4</v>
      </c>
      <c r="G720" s="170">
        <v>3.1569509506485637E-3</v>
      </c>
      <c r="S720" s="177"/>
      <c r="T720" s="160"/>
    </row>
    <row r="721" spans="1:20" x14ac:dyDescent="0.35">
      <c r="A721" s="1646"/>
      <c r="B721" s="168" t="s">
        <v>904</v>
      </c>
      <c r="C721" s="168" t="s">
        <v>1283</v>
      </c>
      <c r="D721" s="169">
        <v>0.16465265516828964</v>
      </c>
      <c r="E721" s="170">
        <v>0.15744258813661718</v>
      </c>
      <c r="F721" s="170">
        <v>1.8536320664162616E-3</v>
      </c>
      <c r="G721" s="170">
        <v>5.3564349652562042E-3</v>
      </c>
      <c r="S721" s="177"/>
      <c r="T721" s="160"/>
    </row>
    <row r="722" spans="1:20" x14ac:dyDescent="0.35">
      <c r="A722" s="1646"/>
      <c r="B722" s="168" t="s">
        <v>905</v>
      </c>
      <c r="C722" s="168" t="s">
        <v>1283</v>
      </c>
      <c r="D722" s="169">
        <v>0.17986828746933048</v>
      </c>
      <c r="E722" s="170">
        <v>0.17681518390195594</v>
      </c>
      <c r="F722" s="171">
        <v>2.3630832564818234E-4</v>
      </c>
      <c r="G722" s="170">
        <v>2.8167952417263338E-3</v>
      </c>
      <c r="S722" s="177"/>
      <c r="T722" s="160"/>
    </row>
    <row r="723" spans="1:20" x14ac:dyDescent="0.35">
      <c r="A723" s="1646"/>
      <c r="B723" s="168" t="s">
        <v>906</v>
      </c>
      <c r="C723" s="168" t="s">
        <v>1283</v>
      </c>
      <c r="D723" s="169">
        <v>8.6168222871404909E-2</v>
      </c>
      <c r="E723" s="170">
        <v>8.2394954458162986E-2</v>
      </c>
      <c r="F723" s="170">
        <v>9.7006744809117692E-4</v>
      </c>
      <c r="G723" s="170">
        <v>2.8032009651507467E-3</v>
      </c>
      <c r="S723" s="177"/>
      <c r="T723" s="160"/>
    </row>
    <row r="724" spans="1:20" x14ac:dyDescent="0.35">
      <c r="A724" s="1646"/>
      <c r="B724" s="168" t="s">
        <v>907</v>
      </c>
      <c r="C724" s="168" t="s">
        <v>1283</v>
      </c>
      <c r="D724" s="169">
        <v>2.1155224490718202E-2</v>
      </c>
      <c r="E724" s="170">
        <v>1.0584874474475637E-2</v>
      </c>
      <c r="F724" s="170">
        <v>1.0165708712678174E-2</v>
      </c>
      <c r="G724" s="171">
        <v>4.0464130356439358E-4</v>
      </c>
      <c r="S724" s="177"/>
      <c r="T724" s="160"/>
    </row>
    <row r="725" spans="1:20" x14ac:dyDescent="0.35">
      <c r="A725" s="1646"/>
      <c r="B725" s="168" t="s">
        <v>908</v>
      </c>
      <c r="C725" s="168" t="s">
        <v>1283</v>
      </c>
      <c r="D725" s="169">
        <v>9.4131070442282944E-2</v>
      </c>
      <c r="E725" s="170">
        <v>9.2533279575356953E-2</v>
      </c>
      <c r="F725" s="170">
        <v>1.2366802375588209E-4</v>
      </c>
      <c r="G725" s="170">
        <v>1.4741228431701145E-3</v>
      </c>
      <c r="S725" s="177"/>
      <c r="T725" s="160"/>
    </row>
    <row r="726" spans="1:20" x14ac:dyDescent="0.35">
      <c r="A726" s="1646"/>
      <c r="B726" s="168" t="s">
        <v>909</v>
      </c>
      <c r="C726" s="168" t="s">
        <v>1283</v>
      </c>
      <c r="D726" s="169">
        <v>2.0837286111117223E-2</v>
      </c>
      <c r="E726" s="170">
        <v>1.0425796141831561E-2</v>
      </c>
      <c r="F726" s="170">
        <v>1.0012929953132393E-2</v>
      </c>
      <c r="G726" s="170">
        <v>3.9856001615327019E-4</v>
      </c>
      <c r="S726" s="177"/>
      <c r="T726" s="160"/>
    </row>
    <row r="727" spans="1:20" x14ac:dyDescent="0.35">
      <c r="A727" s="1647"/>
      <c r="B727" s="168" t="s">
        <v>910</v>
      </c>
      <c r="C727" s="168" t="s">
        <v>1283</v>
      </c>
      <c r="D727" s="169">
        <v>2.3159299848938074E-2</v>
      </c>
      <c r="E727" s="170">
        <v>2.2242181220154627E-2</v>
      </c>
      <c r="F727" s="170">
        <v>8.8533967059417618E-4</v>
      </c>
      <c r="G727" s="229">
        <v>3.177895818926895E-5</v>
      </c>
      <c r="S727" s="177"/>
      <c r="T727" s="160"/>
    </row>
    <row r="728" spans="1:20" x14ac:dyDescent="0.35">
      <c r="A728" s="1645" t="s">
        <v>1411</v>
      </c>
      <c r="B728" s="168" t="s">
        <v>1412</v>
      </c>
      <c r="C728" s="168" t="s">
        <v>1283</v>
      </c>
      <c r="D728" s="169">
        <v>0.22469677300280874</v>
      </c>
      <c r="E728" s="170">
        <v>0.22088274592285784</v>
      </c>
      <c r="F728" s="171">
        <v>2.9520333436152367E-4</v>
      </c>
      <c r="G728" s="175">
        <v>3.5188237455893623E-3</v>
      </c>
      <c r="S728" s="177"/>
      <c r="T728" s="160"/>
    </row>
    <row r="729" spans="1:20" x14ac:dyDescent="0.35">
      <c r="A729" s="1647"/>
      <c r="B729" s="168" t="s">
        <v>1413</v>
      </c>
      <c r="C729" s="168" t="s">
        <v>1414</v>
      </c>
      <c r="D729" s="169">
        <v>7.021774156337772E-2</v>
      </c>
      <c r="E729" s="170">
        <v>6.9025858100893067E-2</v>
      </c>
      <c r="F729" s="171">
        <v>9.2251041987976147E-5</v>
      </c>
      <c r="G729" s="175">
        <v>1.0996324204966756E-3</v>
      </c>
    </row>
    <row r="730" spans="1:20" x14ac:dyDescent="0.35">
      <c r="A730" s="192" t="s">
        <v>1415</v>
      </c>
      <c r="B730" s="193"/>
      <c r="C730" s="193"/>
      <c r="D730" s="1725" t="s">
        <v>1416</v>
      </c>
      <c r="E730" s="1726"/>
      <c r="F730" s="1726"/>
      <c r="G730" s="1727"/>
    </row>
    <row r="731" spans="1:20" ht="16.5" x14ac:dyDescent="0.35">
      <c r="A731" s="1728" t="s">
        <v>1265</v>
      </c>
      <c r="B731" s="1622"/>
      <c r="C731" s="165" t="s">
        <v>1157</v>
      </c>
      <c r="D731" s="166" t="s">
        <v>1266</v>
      </c>
      <c r="E731" s="167" t="s">
        <v>1267</v>
      </c>
      <c r="F731" s="167" t="s">
        <v>1268</v>
      </c>
      <c r="G731" s="167" t="s">
        <v>1269</v>
      </c>
      <c r="K731" s="174"/>
      <c r="L731" s="174"/>
    </row>
    <row r="732" spans="1:20" x14ac:dyDescent="0.35">
      <c r="A732" s="1729" t="s">
        <v>1417</v>
      </c>
      <c r="B732" s="230" t="s">
        <v>1418</v>
      </c>
      <c r="C732" s="230" t="s">
        <v>1419</v>
      </c>
      <c r="D732" s="231">
        <v>0.24243830226367186</v>
      </c>
      <c r="E732" s="232">
        <v>0.23806699997585282</v>
      </c>
      <c r="F732" s="233">
        <v>8.8160718409796004E-4</v>
      </c>
      <c r="G732" s="232">
        <v>3.4896951037210896E-3</v>
      </c>
      <c r="K732" s="177"/>
      <c r="L732" s="177"/>
      <c r="M732" s="160"/>
      <c r="N732" s="160"/>
    </row>
    <row r="733" spans="1:20" x14ac:dyDescent="0.35">
      <c r="A733" s="1730"/>
      <c r="B733" s="230" t="s">
        <v>1420</v>
      </c>
      <c r="C733" s="230" t="s">
        <v>1419</v>
      </c>
      <c r="D733" s="231">
        <v>0.1344681228983661</v>
      </c>
      <c r="E733" s="232">
        <v>0.13204358515917225</v>
      </c>
      <c r="F733" s="233">
        <v>4.8898240118195528E-4</v>
      </c>
      <c r="G733" s="232">
        <v>1.9355553380119061E-3</v>
      </c>
      <c r="K733" s="177"/>
      <c r="L733" s="177"/>
      <c r="M733" s="160"/>
      <c r="N733" s="160"/>
    </row>
    <row r="734" spans="1:20" x14ac:dyDescent="0.35">
      <c r="A734" s="1730"/>
      <c r="B734" s="230" t="s">
        <v>1421</v>
      </c>
      <c r="C734" s="230" t="s">
        <v>1419</v>
      </c>
      <c r="D734" s="231">
        <v>0.21349003162963931</v>
      </c>
      <c r="E734" s="232">
        <v>0.20964068334194902</v>
      </c>
      <c r="F734" s="233">
        <v>7.7633915045854387E-4</v>
      </c>
      <c r="G734" s="232">
        <v>3.0730091372317358E-3</v>
      </c>
      <c r="K734" s="177"/>
      <c r="L734" s="177"/>
      <c r="M734" s="160"/>
      <c r="N734" s="160"/>
    </row>
    <row r="735" spans="1:20" x14ac:dyDescent="0.35">
      <c r="A735" s="1730"/>
      <c r="B735" s="230" t="s">
        <v>1422</v>
      </c>
      <c r="C735" s="230" t="s">
        <v>1419</v>
      </c>
      <c r="D735" s="231">
        <v>0.65924664237510633</v>
      </c>
      <c r="E735" s="232">
        <v>0.64736004554142135</v>
      </c>
      <c r="F735" s="233">
        <v>2.3972968404070596E-3</v>
      </c>
      <c r="G735" s="232">
        <v>9.4892999932779439E-3</v>
      </c>
      <c r="K735" s="177"/>
      <c r="L735" s="177"/>
      <c r="M735" s="160"/>
      <c r="N735" s="160"/>
    </row>
    <row r="736" spans="1:20" x14ac:dyDescent="0.35">
      <c r="A736" s="234"/>
      <c r="B736" s="234"/>
      <c r="C736" s="234"/>
      <c r="D736" s="234"/>
      <c r="E736" s="234"/>
      <c r="F736" s="234"/>
      <c r="G736" s="234"/>
    </row>
    <row r="737" spans="1:14" x14ac:dyDescent="0.35">
      <c r="A737" s="192" t="s">
        <v>1423</v>
      </c>
      <c r="B737" s="193"/>
      <c r="C737" s="193"/>
      <c r="D737" s="1725" t="s">
        <v>1416</v>
      </c>
      <c r="E737" s="1726"/>
      <c r="F737" s="1726"/>
      <c r="G737" s="1727"/>
    </row>
    <row r="738" spans="1:14" ht="16.5" x14ac:dyDescent="0.35">
      <c r="A738" s="1728" t="s">
        <v>1265</v>
      </c>
      <c r="B738" s="1622"/>
      <c r="C738" s="165" t="s">
        <v>1157</v>
      </c>
      <c r="D738" s="166" t="s">
        <v>1266</v>
      </c>
      <c r="E738" s="167" t="s">
        <v>1267</v>
      </c>
      <c r="F738" s="167" t="s">
        <v>1268</v>
      </c>
      <c r="G738" s="167" t="s">
        <v>1269</v>
      </c>
    </row>
    <row r="739" spans="1:14" x14ac:dyDescent="0.35">
      <c r="A739" s="1645" t="s">
        <v>1424</v>
      </c>
      <c r="B739" s="168" t="s">
        <v>1425</v>
      </c>
      <c r="C739" s="168" t="s">
        <v>1419</v>
      </c>
      <c r="D739" s="169">
        <v>0.15553</v>
      </c>
      <c r="E739" s="170">
        <v>0.15475</v>
      </c>
      <c r="F739" s="186">
        <v>1.0000000000000001E-5</v>
      </c>
      <c r="G739" s="170">
        <v>7.6999999999999996E-4</v>
      </c>
      <c r="K739" s="177"/>
      <c r="L739" s="235"/>
      <c r="M739" s="160"/>
      <c r="N739" s="160"/>
    </row>
    <row r="740" spans="1:14" x14ac:dyDescent="0.35">
      <c r="A740" s="1646"/>
      <c r="B740" s="168" t="s">
        <v>1426</v>
      </c>
      <c r="C740" s="168" t="s">
        <v>1419</v>
      </c>
      <c r="D740" s="169">
        <v>0.15298000000000003</v>
      </c>
      <c r="E740" s="170">
        <v>0.15221000000000001</v>
      </c>
      <c r="F740" s="186">
        <v>1.0000000000000001E-5</v>
      </c>
      <c r="G740" s="170">
        <v>7.6000000000000004E-4</v>
      </c>
      <c r="K740" s="177"/>
      <c r="L740" s="235"/>
      <c r="M740" s="160"/>
      <c r="N740" s="160"/>
    </row>
    <row r="741" spans="1:14" x14ac:dyDescent="0.35">
      <c r="A741" s="1647"/>
      <c r="B741" s="168" t="s">
        <v>1427</v>
      </c>
      <c r="C741" s="168" t="s">
        <v>1419</v>
      </c>
      <c r="D741" s="169">
        <v>0.22947000000000001</v>
      </c>
      <c r="E741" s="170">
        <v>0.22832</v>
      </c>
      <c r="F741" s="186">
        <v>1.0000000000000001E-5</v>
      </c>
      <c r="G741" s="170">
        <v>1.14E-3</v>
      </c>
      <c r="K741" s="177"/>
      <c r="L741" s="235"/>
      <c r="M741" s="160"/>
      <c r="N741" s="160"/>
    </row>
    <row r="742" spans="1:14" x14ac:dyDescent="0.35">
      <c r="A742" s="1645" t="s">
        <v>1428</v>
      </c>
      <c r="B742" s="168" t="s">
        <v>1425</v>
      </c>
      <c r="C742" s="168" t="s">
        <v>1419</v>
      </c>
      <c r="D742" s="169">
        <v>0.19085000000000002</v>
      </c>
      <c r="E742" s="170">
        <v>0.18989</v>
      </c>
      <c r="F742" s="186">
        <v>1.0000000000000001E-5</v>
      </c>
      <c r="G742" s="170">
        <v>9.5E-4</v>
      </c>
      <c r="K742" s="177"/>
      <c r="L742" s="235"/>
      <c r="M742" s="160"/>
      <c r="N742" s="160"/>
    </row>
    <row r="743" spans="1:14" x14ac:dyDescent="0.35">
      <c r="A743" s="1646"/>
      <c r="B743" s="168" t="s">
        <v>1426</v>
      </c>
      <c r="C743" s="168" t="s">
        <v>1419</v>
      </c>
      <c r="D743" s="169">
        <v>0.14615</v>
      </c>
      <c r="E743" s="170">
        <v>0.14541999999999999</v>
      </c>
      <c r="F743" s="186">
        <v>1.0000000000000001E-5</v>
      </c>
      <c r="G743" s="170">
        <v>7.2000000000000005E-4</v>
      </c>
      <c r="K743" s="177"/>
      <c r="L743" s="235"/>
      <c r="M743" s="160"/>
      <c r="N743" s="160"/>
    </row>
    <row r="744" spans="1:14" x14ac:dyDescent="0.35">
      <c r="A744" s="1646"/>
      <c r="B744" s="168" t="s">
        <v>1429</v>
      </c>
      <c r="C744" s="168" t="s">
        <v>1419</v>
      </c>
      <c r="D744" s="169">
        <v>0.23385</v>
      </c>
      <c r="E744" s="170">
        <v>0.23268</v>
      </c>
      <c r="F744" s="186">
        <v>1.0000000000000001E-5</v>
      </c>
      <c r="G744" s="170">
        <v>1.16E-3</v>
      </c>
      <c r="K744" s="177"/>
      <c r="L744" s="235"/>
      <c r="M744" s="160"/>
      <c r="N744" s="160"/>
    </row>
    <row r="745" spans="1:14" x14ac:dyDescent="0.35">
      <c r="A745" s="1646"/>
      <c r="B745" s="168" t="s">
        <v>1427</v>
      </c>
      <c r="C745" s="168" t="s">
        <v>1419</v>
      </c>
      <c r="D745" s="169">
        <v>0.42385</v>
      </c>
      <c r="E745" s="170">
        <v>0.42172999999999999</v>
      </c>
      <c r="F745" s="186">
        <v>2.0000000000000002E-5</v>
      </c>
      <c r="G745" s="170">
        <v>2.0999999999999999E-3</v>
      </c>
      <c r="K745" s="177"/>
      <c r="L745" s="235"/>
      <c r="M745" s="160"/>
      <c r="N745" s="160"/>
    </row>
    <row r="746" spans="1:14" x14ac:dyDescent="0.35">
      <c r="A746" s="1647"/>
      <c r="B746" s="168" t="s">
        <v>1430</v>
      </c>
      <c r="C746" s="168" t="s">
        <v>1419</v>
      </c>
      <c r="D746" s="169">
        <v>0.58462000000000003</v>
      </c>
      <c r="E746" s="170">
        <v>0.58169999999999999</v>
      </c>
      <c r="F746" s="186">
        <v>2.0000000000000002E-5</v>
      </c>
      <c r="G746" s="170">
        <v>2.8999999999999998E-3</v>
      </c>
      <c r="K746" s="177"/>
      <c r="L746" s="235"/>
      <c r="M746" s="160"/>
      <c r="N746" s="160"/>
    </row>
    <row r="747" spans="1:14" x14ac:dyDescent="0.35">
      <c r="A747" s="192" t="s">
        <v>1431</v>
      </c>
      <c r="B747" s="239"/>
      <c r="C747" s="239"/>
      <c r="D747" s="240"/>
      <c r="E747" s="240"/>
      <c r="F747" s="240"/>
      <c r="G747" s="240"/>
      <c r="H747" s="240"/>
    </row>
    <row r="748" spans="1:14" ht="16.5" x14ac:dyDescent="0.35">
      <c r="A748" s="1654" t="s">
        <v>1265</v>
      </c>
      <c r="B748" s="1655"/>
      <c r="C748" s="167" t="s">
        <v>1157</v>
      </c>
      <c r="D748" s="166" t="s">
        <v>1266</v>
      </c>
      <c r="E748" s="167" t="s">
        <v>1267</v>
      </c>
      <c r="F748" s="167" t="s">
        <v>1268</v>
      </c>
      <c r="G748" s="167" t="s">
        <v>1269</v>
      </c>
      <c r="H748" s="241" t="s">
        <v>1271</v>
      </c>
    </row>
    <row r="749" spans="1:14" x14ac:dyDescent="0.35">
      <c r="A749" s="1648" t="s">
        <v>141</v>
      </c>
      <c r="B749" s="237" t="s">
        <v>926</v>
      </c>
      <c r="C749" s="237" t="s">
        <v>1419</v>
      </c>
      <c r="D749" s="238">
        <v>0.13600000000000001</v>
      </c>
      <c r="E749" s="238">
        <v>0.13400000000000001</v>
      </c>
      <c r="F749" s="238">
        <v>0</v>
      </c>
      <c r="G749" s="238">
        <v>2E-3</v>
      </c>
      <c r="H749" s="242"/>
    </row>
    <row r="750" spans="1:14" x14ac:dyDescent="0.35">
      <c r="A750" s="1649"/>
      <c r="B750" s="223" t="s">
        <v>927</v>
      </c>
      <c r="C750" s="223" t="s">
        <v>1419</v>
      </c>
      <c r="D750" s="236">
        <v>1.2508482416231228E-2</v>
      </c>
      <c r="E750" s="236">
        <v>1.2013140919874989E-2</v>
      </c>
      <c r="F750" s="243">
        <v>4.7817748266370798E-4</v>
      </c>
      <c r="G750" s="244">
        <v>1.7164013692531599E-5</v>
      </c>
      <c r="H750" s="242" t="s">
        <v>1432</v>
      </c>
    </row>
    <row r="751" spans="1:14" x14ac:dyDescent="0.35">
      <c r="A751" s="1649"/>
      <c r="B751" s="223" t="s">
        <v>928</v>
      </c>
      <c r="C751" s="223" t="s">
        <v>1419</v>
      </c>
      <c r="D751" s="236">
        <v>0.1111722908844396</v>
      </c>
      <c r="E751" s="236">
        <v>0.10928524051737389</v>
      </c>
      <c r="F751" s="243">
        <v>1.4605652995864594E-4</v>
      </c>
      <c r="G751" s="236">
        <v>1.7409938371070594E-3</v>
      </c>
      <c r="H751" s="242" t="s">
        <v>1432</v>
      </c>
    </row>
    <row r="752" spans="1:14" x14ac:dyDescent="0.35">
      <c r="A752" s="1650"/>
      <c r="B752" s="223" t="s">
        <v>1433</v>
      </c>
      <c r="C752" s="223" t="s">
        <v>1419</v>
      </c>
      <c r="D752" s="236">
        <v>0.10839126257380391</v>
      </c>
      <c r="E752" s="236">
        <v>0.10654344018536273</v>
      </c>
      <c r="F752" s="243">
        <v>1.5541799477910935E-4</v>
      </c>
      <c r="G752" s="236">
        <v>1.6924043936620635E-3</v>
      </c>
      <c r="H752" s="242" t="s">
        <v>1432</v>
      </c>
    </row>
    <row r="753" spans="1:8" x14ac:dyDescent="0.35">
      <c r="A753" s="1648" t="s">
        <v>835</v>
      </c>
      <c r="B753" s="223" t="s">
        <v>923</v>
      </c>
      <c r="C753" s="223" t="s">
        <v>1419</v>
      </c>
      <c r="D753" s="236">
        <v>9.3249854445803439E-3</v>
      </c>
      <c r="E753" s="236">
        <v>8.9557118516763144E-3</v>
      </c>
      <c r="F753" s="243">
        <v>3.5647794171889889E-4</v>
      </c>
      <c r="G753" s="244">
        <v>1.2795651185130641E-5</v>
      </c>
      <c r="H753" s="242" t="s">
        <v>1432</v>
      </c>
    </row>
    <row r="754" spans="1:8" x14ac:dyDescent="0.35">
      <c r="A754" s="1649"/>
      <c r="B754" s="223" t="s">
        <v>924</v>
      </c>
      <c r="C754" s="223" t="s">
        <v>1419</v>
      </c>
      <c r="D754" s="236">
        <v>3.7728737685299288E-2</v>
      </c>
      <c r="E754" s="236">
        <v>3.7088326052764201E-2</v>
      </c>
      <c r="F754" s="244">
        <v>4.9567463818505326E-5</v>
      </c>
      <c r="G754" s="236">
        <v>5.9084416871658355E-4</v>
      </c>
      <c r="H754" s="242" t="s">
        <v>1432</v>
      </c>
    </row>
    <row r="755" spans="1:8" x14ac:dyDescent="0.35">
      <c r="A755" s="1650"/>
      <c r="B755" s="223" t="s">
        <v>922</v>
      </c>
      <c r="C755" s="223" t="s">
        <v>1419</v>
      </c>
      <c r="D755" s="236">
        <v>1.4349829733419901E-2</v>
      </c>
      <c r="E755" s="236">
        <v>1.3932589716277945E-2</v>
      </c>
      <c r="F755" s="243">
        <v>3.0218309542559888E-4</v>
      </c>
      <c r="G755" s="243">
        <v>1.150569217163572E-4</v>
      </c>
      <c r="H755" s="242" t="s">
        <v>1432</v>
      </c>
    </row>
    <row r="756" spans="1:8" x14ac:dyDescent="0.35">
      <c r="A756" s="10" t="s">
        <v>1243</v>
      </c>
    </row>
    <row r="757" spans="1:8" x14ac:dyDescent="0.35">
      <c r="A757" s="27"/>
    </row>
    <row r="758" spans="1:8" x14ac:dyDescent="0.35">
      <c r="A758" s="162" t="s">
        <v>1434</v>
      </c>
    </row>
    <row r="759" spans="1:8" x14ac:dyDescent="0.35">
      <c r="A759" s="1737" t="s">
        <v>1930</v>
      </c>
      <c r="B759" s="1737"/>
      <c r="C759" s="1737"/>
      <c r="D759" s="1737"/>
      <c r="E759" s="1737"/>
      <c r="F759" s="1737"/>
      <c r="G759" s="1737"/>
    </row>
    <row r="760" spans="1:8" x14ac:dyDescent="0.35">
      <c r="A760" s="1738" t="s">
        <v>1281</v>
      </c>
      <c r="B760" s="1738"/>
      <c r="C760" s="612" t="s">
        <v>1157</v>
      </c>
      <c r="D760" s="612" t="s">
        <v>1847</v>
      </c>
      <c r="E760" s="612" t="s">
        <v>1931</v>
      </c>
      <c r="F760" s="612" t="s">
        <v>1932</v>
      </c>
      <c r="G760" s="612" t="s">
        <v>1933</v>
      </c>
    </row>
    <row r="761" spans="1:8" x14ac:dyDescent="0.35">
      <c r="A761" s="1739" t="s">
        <v>1265</v>
      </c>
      <c r="B761" s="1798" t="s">
        <v>1934</v>
      </c>
      <c r="C761" s="1798"/>
      <c r="D761" s="1798"/>
      <c r="E761" s="1798"/>
      <c r="F761" s="1798"/>
      <c r="G761" s="1798"/>
    </row>
    <row r="762" spans="1:8" x14ac:dyDescent="0.35">
      <c r="A762" s="1739"/>
      <c r="B762" s="613" t="s">
        <v>1282</v>
      </c>
      <c r="C762" s="613" t="s">
        <v>1283</v>
      </c>
      <c r="D762" s="1127">
        <v>0.15934905960000001</v>
      </c>
      <c r="E762" s="1128">
        <v>0.15273447270000001</v>
      </c>
      <c r="F762" s="1128">
        <v>2.0078444000000001E-3</v>
      </c>
      <c r="G762" s="1128">
        <v>4.6067425999999998E-3</v>
      </c>
    </row>
    <row r="763" spans="1:8" x14ac:dyDescent="0.35">
      <c r="A763" s="1739"/>
      <c r="B763" s="613" t="s">
        <v>1935</v>
      </c>
      <c r="C763" s="613" t="s">
        <v>1283</v>
      </c>
      <c r="D763" s="1127">
        <v>0.16491770959999999</v>
      </c>
      <c r="E763" s="1128">
        <v>0.15807196770000001</v>
      </c>
      <c r="F763" s="1128">
        <v>2.0780109999999998E-3</v>
      </c>
      <c r="G763" s="1128">
        <v>4.7677309000000003E-3</v>
      </c>
    </row>
    <row r="764" spans="1:8" x14ac:dyDescent="0.35">
      <c r="A764" s="1739"/>
      <c r="B764" s="613" t="s">
        <v>1936</v>
      </c>
      <c r="C764" s="613" t="s">
        <v>1283</v>
      </c>
      <c r="D764" s="1127">
        <v>0.1856930574</v>
      </c>
      <c r="E764" s="1128">
        <v>0.17798492990000001</v>
      </c>
      <c r="F764" s="1128">
        <v>2.3397864000000001E-3</v>
      </c>
      <c r="G764" s="1128">
        <v>5.3683411E-3</v>
      </c>
    </row>
    <row r="765" spans="1:8" x14ac:dyDescent="0.35">
      <c r="A765" s="1739"/>
      <c r="B765" s="613" t="s">
        <v>1937</v>
      </c>
      <c r="C765" s="613" t="s">
        <v>1283</v>
      </c>
      <c r="D765" s="1127">
        <v>0.20625422639999999</v>
      </c>
      <c r="E765" s="1128">
        <v>0.19769260380000001</v>
      </c>
      <c r="F765" s="1128">
        <v>2.5988630999999999E-3</v>
      </c>
      <c r="G765" s="1128">
        <v>5.9627595000000004E-3</v>
      </c>
    </row>
    <row r="766" spans="1:8" x14ac:dyDescent="0.35">
      <c r="A766" s="1739"/>
      <c r="B766" s="613" t="s">
        <v>1287</v>
      </c>
      <c r="C766" s="613" t="s">
        <v>1283</v>
      </c>
      <c r="D766" s="1127">
        <v>0.24673402790000001</v>
      </c>
      <c r="E766" s="1128">
        <v>0.2364920868</v>
      </c>
      <c r="F766" s="1128">
        <v>3.1089204E-3</v>
      </c>
      <c r="G766" s="1128">
        <v>7.1330207000000001E-3</v>
      </c>
    </row>
    <row r="767" spans="1:8" x14ac:dyDescent="0.35">
      <c r="A767" s="1739"/>
      <c r="B767" s="1798" t="s">
        <v>1938</v>
      </c>
      <c r="C767" s="1798"/>
      <c r="D767" s="1798"/>
      <c r="E767" s="1798"/>
      <c r="F767" s="1798"/>
      <c r="G767" s="1798"/>
    </row>
    <row r="768" spans="1:8" x14ac:dyDescent="0.35">
      <c r="A768" s="1739"/>
      <c r="B768" s="613" t="s">
        <v>1282</v>
      </c>
      <c r="C768" s="613" t="s">
        <v>1283</v>
      </c>
      <c r="D768" s="1127">
        <v>0.17775776369999999</v>
      </c>
      <c r="E768" s="1128">
        <v>0.17502182390000001</v>
      </c>
      <c r="F768" s="1128">
        <v>2.6145500000000001E-4</v>
      </c>
      <c r="G768" s="1128">
        <v>2.4744848000000002E-3</v>
      </c>
    </row>
    <row r="769" spans="1:7" x14ac:dyDescent="0.35">
      <c r="A769" s="1739"/>
      <c r="B769" s="613" t="s">
        <v>1935</v>
      </c>
      <c r="C769" s="613" t="s">
        <v>1283</v>
      </c>
      <c r="D769" s="1127">
        <v>0.1710587475</v>
      </c>
      <c r="E769" s="1128">
        <v>0.1684259149</v>
      </c>
      <c r="F769" s="1128">
        <v>2.5160169999999997E-4</v>
      </c>
      <c r="G769" s="1128">
        <v>2.3812308000000001E-3</v>
      </c>
    </row>
    <row r="770" spans="1:7" x14ac:dyDescent="0.35">
      <c r="A770" s="1739"/>
      <c r="B770" s="613" t="s">
        <v>1936</v>
      </c>
      <c r="C770" s="613" t="s">
        <v>1283</v>
      </c>
      <c r="D770" s="1127">
        <v>0.18130234689999999</v>
      </c>
      <c r="E770" s="1128">
        <v>0.178511851</v>
      </c>
      <c r="F770" s="1128">
        <v>2.6666850000000002E-4</v>
      </c>
      <c r="G770" s="1128">
        <v>2.5238272999999999E-3</v>
      </c>
    </row>
    <row r="771" spans="1:7" x14ac:dyDescent="0.35">
      <c r="A771" s="1739"/>
      <c r="B771" s="613" t="s">
        <v>1939</v>
      </c>
      <c r="C771" s="613" t="s">
        <v>1283</v>
      </c>
      <c r="D771" s="1127">
        <v>0.2227529422</v>
      </c>
      <c r="E771" s="1128">
        <v>0.21932446389999999</v>
      </c>
      <c r="F771" s="1128">
        <v>3.276361E-4</v>
      </c>
      <c r="G771" s="1128">
        <v>3.1008421E-3</v>
      </c>
    </row>
    <row r="772" spans="1:7" x14ac:dyDescent="0.35">
      <c r="A772" s="1739"/>
      <c r="B772" s="613" t="s">
        <v>1287</v>
      </c>
      <c r="C772" s="613" t="s">
        <v>1283</v>
      </c>
      <c r="D772" s="1127">
        <v>0.24709274070000001</v>
      </c>
      <c r="E772" s="1128">
        <v>0.243289639</v>
      </c>
      <c r="F772" s="1128">
        <v>3.6343630000000002E-4</v>
      </c>
      <c r="G772" s="1128">
        <v>3.4396653999999999E-3</v>
      </c>
    </row>
    <row r="773" spans="1:7" x14ac:dyDescent="0.35">
      <c r="A773" s="1739"/>
      <c r="B773" s="1798" t="s">
        <v>1940</v>
      </c>
      <c r="C773" s="1798"/>
      <c r="D773" s="1798"/>
      <c r="E773" s="1798"/>
      <c r="F773" s="1798"/>
      <c r="G773" s="1798"/>
    </row>
    <row r="774" spans="1:7" x14ac:dyDescent="0.35">
      <c r="A774" s="1739"/>
      <c r="B774" s="613" t="s">
        <v>1282</v>
      </c>
      <c r="C774" s="613" t="s">
        <v>1283</v>
      </c>
      <c r="D774" s="1127">
        <v>0.12575972760000001</v>
      </c>
      <c r="E774" s="1128">
        <v>0.12053943540000001</v>
      </c>
      <c r="F774" s="1128">
        <v>1.5846091000000001E-3</v>
      </c>
      <c r="G774" s="1128">
        <v>3.6356830999999998E-3</v>
      </c>
    </row>
    <row r="775" spans="1:7" x14ac:dyDescent="0.35">
      <c r="A775" s="1739"/>
      <c r="B775" s="613" t="s">
        <v>1935</v>
      </c>
      <c r="C775" s="613" t="s">
        <v>1283</v>
      </c>
      <c r="D775" s="1127">
        <v>0.13015455679999999</v>
      </c>
      <c r="E775" s="1128">
        <v>0.12475183500000001</v>
      </c>
      <c r="F775" s="1128">
        <v>1.6399851999999999E-3</v>
      </c>
      <c r="G775" s="1128">
        <v>3.7627365999999998E-3</v>
      </c>
    </row>
    <row r="776" spans="1:7" x14ac:dyDescent="0.35">
      <c r="A776" s="1739"/>
      <c r="B776" s="613" t="s">
        <v>1936</v>
      </c>
      <c r="C776" s="613" t="s">
        <v>1283</v>
      </c>
      <c r="D776" s="1127">
        <v>0.1465506503</v>
      </c>
      <c r="E776" s="1128">
        <v>0.1404673259</v>
      </c>
      <c r="F776" s="1128">
        <v>1.8465807E-3</v>
      </c>
      <c r="G776" s="1128">
        <v>4.2367437000000001E-3</v>
      </c>
    </row>
    <row r="777" spans="1:7" x14ac:dyDescent="0.35">
      <c r="A777" s="1739"/>
      <c r="B777" s="613" t="s">
        <v>1939</v>
      </c>
      <c r="C777" s="613" t="s">
        <v>1283</v>
      </c>
      <c r="D777" s="1127">
        <v>0.16277771190000001</v>
      </c>
      <c r="E777" s="1128">
        <v>0.15602080139999999</v>
      </c>
      <c r="F777" s="1128">
        <v>2.0510464000000001E-3</v>
      </c>
      <c r="G777" s="1128">
        <v>4.7058641000000002E-3</v>
      </c>
    </row>
    <row r="778" spans="1:7" x14ac:dyDescent="0.35">
      <c r="A778" s="1739"/>
      <c r="B778" s="613" t="s">
        <v>1287</v>
      </c>
      <c r="C778" s="613" t="s">
        <v>1283</v>
      </c>
      <c r="D778" s="1127">
        <v>0.19472473949999999</v>
      </c>
      <c r="E778" s="1128">
        <v>0.1866417064</v>
      </c>
      <c r="F778" s="1128">
        <v>2.4535882000000001E-3</v>
      </c>
      <c r="G778" s="1128">
        <v>5.6294448999999998E-3</v>
      </c>
    </row>
    <row r="779" spans="1:7" x14ac:dyDescent="0.35">
      <c r="A779" s="1739"/>
      <c r="B779" s="1798" t="s">
        <v>1941</v>
      </c>
      <c r="C779" s="1798"/>
      <c r="D779" s="1798"/>
      <c r="E779" s="1798"/>
      <c r="F779" s="1798"/>
      <c r="G779" s="1798"/>
    </row>
    <row r="780" spans="1:7" x14ac:dyDescent="0.35">
      <c r="A780" s="1739"/>
      <c r="B780" s="613" t="s">
        <v>1282</v>
      </c>
      <c r="C780" s="613" t="s">
        <v>1283</v>
      </c>
      <c r="D780" s="1127">
        <v>0.15725488979999999</v>
      </c>
      <c r="E780" s="1128">
        <v>0.1548345179</v>
      </c>
      <c r="F780" s="1128">
        <v>2.312983E-4</v>
      </c>
      <c r="G780" s="1128">
        <v>2.1890735999999999E-3</v>
      </c>
    </row>
    <row r="781" spans="1:7" x14ac:dyDescent="0.35">
      <c r="A781" s="1739"/>
      <c r="B781" s="613" t="s">
        <v>1935</v>
      </c>
      <c r="C781" s="613" t="s">
        <v>1283</v>
      </c>
      <c r="D781" s="1127">
        <v>0.1513285492</v>
      </c>
      <c r="E781" s="1128">
        <v>0.1489993919</v>
      </c>
      <c r="F781" s="1128">
        <v>2.225816E-4</v>
      </c>
      <c r="G781" s="1128">
        <v>2.1065757000000001E-3</v>
      </c>
    </row>
    <row r="782" spans="1:7" x14ac:dyDescent="0.35">
      <c r="A782" s="1739"/>
      <c r="B782" s="613" t="s">
        <v>1936</v>
      </c>
      <c r="C782" s="613" t="s">
        <v>1283</v>
      </c>
      <c r="D782" s="1127">
        <v>0.160390635</v>
      </c>
      <c r="E782" s="1128">
        <v>0.15792199949999999</v>
      </c>
      <c r="F782" s="1128">
        <v>2.359106E-4</v>
      </c>
      <c r="G782" s="1128">
        <v>2.2327249E-3</v>
      </c>
    </row>
    <row r="783" spans="1:7" x14ac:dyDescent="0.35">
      <c r="A783" s="1739"/>
      <c r="B783" s="613" t="s">
        <v>1939</v>
      </c>
      <c r="C783" s="613" t="s">
        <v>1283</v>
      </c>
      <c r="D783" s="1127">
        <v>0.1971805368</v>
      </c>
      <c r="E783" s="1128">
        <v>0.19414565349999999</v>
      </c>
      <c r="F783" s="1128">
        <v>2.9002299999999998E-4</v>
      </c>
      <c r="G783" s="1128">
        <v>2.7448603000000001E-3</v>
      </c>
    </row>
    <row r="784" spans="1:7" x14ac:dyDescent="0.35">
      <c r="A784" s="1739"/>
      <c r="B784" s="613" t="s">
        <v>1287</v>
      </c>
      <c r="C784" s="613" t="s">
        <v>1283</v>
      </c>
      <c r="D784" s="1127">
        <v>0.21872608639999999</v>
      </c>
      <c r="E784" s="1128">
        <v>0.21535958699999999</v>
      </c>
      <c r="F784" s="1128">
        <v>3.2171320000000002E-4</v>
      </c>
      <c r="G784" s="1128">
        <v>3.0447860999999999E-3</v>
      </c>
    </row>
    <row r="785" spans="1:7" x14ac:dyDescent="0.35">
      <c r="A785" s="1739"/>
      <c r="B785" s="1798" t="s">
        <v>1942</v>
      </c>
      <c r="C785" s="1798"/>
      <c r="D785" s="1798"/>
      <c r="E785" s="1798"/>
      <c r="F785" s="1798"/>
      <c r="G785" s="1798"/>
    </row>
    <row r="786" spans="1:7" x14ac:dyDescent="0.35">
      <c r="A786" s="1739"/>
      <c r="B786" s="613" t="s">
        <v>1282</v>
      </c>
      <c r="C786" s="613" t="s">
        <v>1283</v>
      </c>
      <c r="D786" s="1127">
        <v>6.5814257400000006E-2</v>
      </c>
      <c r="E786" s="1128">
        <v>6.3082304500000005E-2</v>
      </c>
      <c r="F786" s="1128">
        <v>8.2927870000000005E-4</v>
      </c>
      <c r="G786" s="1128">
        <v>1.9026742000000001E-3</v>
      </c>
    </row>
    <row r="787" spans="1:7" x14ac:dyDescent="0.35">
      <c r="A787" s="1739"/>
      <c r="B787" s="613" t="s">
        <v>1935</v>
      </c>
      <c r="C787" s="613" t="s">
        <v>1283</v>
      </c>
      <c r="D787" s="1127">
        <v>6.8114218000000004E-2</v>
      </c>
      <c r="E787" s="1128">
        <v>6.5286793699999998E-2</v>
      </c>
      <c r="F787" s="1128">
        <v>8.5825889999999996E-4</v>
      </c>
      <c r="G787" s="1128">
        <v>1.9691654999999999E-3</v>
      </c>
    </row>
    <row r="788" spans="1:7" x14ac:dyDescent="0.35">
      <c r="A788" s="1739"/>
      <c r="B788" s="613" t="s">
        <v>1936</v>
      </c>
      <c r="C788" s="613" t="s">
        <v>1283</v>
      </c>
      <c r="D788" s="1127">
        <v>7.6694840299999997E-2</v>
      </c>
      <c r="E788" s="1128">
        <v>7.35112339E-2</v>
      </c>
      <c r="F788" s="1128">
        <v>9.6637719999999999E-4</v>
      </c>
      <c r="G788" s="1128">
        <v>2.2172291999999999E-3</v>
      </c>
    </row>
    <row r="789" spans="1:7" x14ac:dyDescent="0.35">
      <c r="A789" s="1739"/>
      <c r="B789" s="613" t="s">
        <v>1939</v>
      </c>
      <c r="C789" s="613" t="s">
        <v>1283</v>
      </c>
      <c r="D789" s="1127">
        <v>8.5187002600000006E-2</v>
      </c>
      <c r="E789" s="1128">
        <v>8.16508861E-2</v>
      </c>
      <c r="F789" s="1128">
        <v>1.073381E-3</v>
      </c>
      <c r="G789" s="1128">
        <v>2.4627354999999999E-3</v>
      </c>
    </row>
    <row r="790" spans="1:7" x14ac:dyDescent="0.35">
      <c r="A790" s="1739"/>
      <c r="B790" s="613" t="s">
        <v>1287</v>
      </c>
      <c r="C790" s="613" t="s">
        <v>1283</v>
      </c>
      <c r="D790" s="1127">
        <v>0.101905947</v>
      </c>
      <c r="E790" s="1128">
        <v>9.7675826300000004E-2</v>
      </c>
      <c r="F790" s="1128">
        <v>1.2840445E-3</v>
      </c>
      <c r="G790" s="1128">
        <v>2.9460761000000002E-3</v>
      </c>
    </row>
    <row r="791" spans="1:7" x14ac:dyDescent="0.35">
      <c r="A791" s="1739"/>
      <c r="B791" s="1798" t="s">
        <v>1943</v>
      </c>
      <c r="C791" s="1798"/>
      <c r="D791" s="1798"/>
      <c r="E791" s="1798"/>
      <c r="F791" s="1798"/>
      <c r="G791" s="1798"/>
    </row>
    <row r="792" spans="1:7" x14ac:dyDescent="0.35">
      <c r="A792" s="1739"/>
      <c r="B792" s="613" t="s">
        <v>1282</v>
      </c>
      <c r="C792" s="613" t="s">
        <v>1283</v>
      </c>
      <c r="D792" s="1127">
        <v>6.9480784E-3</v>
      </c>
      <c r="E792" s="1128">
        <v>6.7515657E-3</v>
      </c>
      <c r="F792" s="1128">
        <v>1.8166990000000001E-4</v>
      </c>
      <c r="G792" s="1128">
        <v>1.48429E-5</v>
      </c>
    </row>
    <row r="793" spans="1:7" x14ac:dyDescent="0.35">
      <c r="A793" s="1739"/>
      <c r="B793" s="613" t="s">
        <v>1935</v>
      </c>
      <c r="C793" s="613" t="s">
        <v>1283</v>
      </c>
      <c r="D793" s="1127">
        <v>7.1908876000000002E-3</v>
      </c>
      <c r="E793" s="1128">
        <v>6.9875075000000002E-3</v>
      </c>
      <c r="F793" s="1128">
        <v>1.8801859999999999E-4</v>
      </c>
      <c r="G793" s="1128">
        <v>1.5361599999999999E-5</v>
      </c>
    </row>
    <row r="794" spans="1:7" x14ac:dyDescent="0.35">
      <c r="A794" s="1739"/>
      <c r="B794" s="613" t="s">
        <v>1936</v>
      </c>
      <c r="C794" s="613" t="s">
        <v>1283</v>
      </c>
      <c r="D794" s="1127">
        <v>8.0967526999999994E-3</v>
      </c>
      <c r="E794" s="1128">
        <v>7.8677519000000008E-3</v>
      </c>
      <c r="F794" s="1128">
        <v>2.11704E-4</v>
      </c>
      <c r="G794" s="1128">
        <v>1.72968E-5</v>
      </c>
    </row>
    <row r="795" spans="1:7" x14ac:dyDescent="0.35">
      <c r="A795" s="1739"/>
      <c r="B795" s="613" t="s">
        <v>1939</v>
      </c>
      <c r="C795" s="613" t="s">
        <v>1283</v>
      </c>
      <c r="D795" s="1127">
        <v>8.9932789999999999E-3</v>
      </c>
      <c r="E795" s="1128">
        <v>8.7389217000000009E-3</v>
      </c>
      <c r="F795" s="1128">
        <v>2.3514529999999999E-4</v>
      </c>
      <c r="G795" s="1128">
        <v>1.9211999999999998E-5</v>
      </c>
    </row>
    <row r="796" spans="1:7" x14ac:dyDescent="0.35">
      <c r="A796" s="1739"/>
      <c r="B796" s="613" t="s">
        <v>1287</v>
      </c>
      <c r="C796" s="613" t="s">
        <v>1283</v>
      </c>
      <c r="D796" s="1127">
        <v>1.0758314999999999E-2</v>
      </c>
      <c r="E796" s="1128">
        <v>1.0454037100000001E-2</v>
      </c>
      <c r="F796" s="1128">
        <v>2.8129529999999998E-4</v>
      </c>
      <c r="G796" s="1128">
        <v>2.2982599999999999E-5</v>
      </c>
    </row>
    <row r="797" spans="1:7" x14ac:dyDescent="0.35">
      <c r="A797" s="1739"/>
      <c r="B797" s="1798" t="s">
        <v>1944</v>
      </c>
      <c r="C797" s="1798"/>
      <c r="D797" s="1798"/>
      <c r="E797" s="1798"/>
      <c r="F797" s="1798"/>
      <c r="G797" s="1798"/>
    </row>
    <row r="798" spans="1:7" x14ac:dyDescent="0.35">
      <c r="A798" s="1739"/>
      <c r="B798" s="613" t="s">
        <v>1282</v>
      </c>
      <c r="C798" s="613" t="s">
        <v>1283</v>
      </c>
      <c r="D798" s="1127">
        <v>8.2296725700000004E-2</v>
      </c>
      <c r="E798" s="1128">
        <v>8.1030064400000004E-2</v>
      </c>
      <c r="F798" s="1128">
        <v>1.210461E-4</v>
      </c>
      <c r="G798" s="1128">
        <v>1.1456152000000001E-3</v>
      </c>
    </row>
    <row r="799" spans="1:7" x14ac:dyDescent="0.35">
      <c r="A799" s="1739"/>
      <c r="B799" s="613" t="s">
        <v>1935</v>
      </c>
      <c r="C799" s="613" t="s">
        <v>1283</v>
      </c>
      <c r="D799" s="1127">
        <v>7.9195274100000004E-2</v>
      </c>
      <c r="E799" s="1128">
        <v>7.7976348400000006E-2</v>
      </c>
      <c r="F799" s="1128">
        <v>1.1648440000000001E-4</v>
      </c>
      <c r="G799" s="1128">
        <v>1.1024412999999999E-3</v>
      </c>
    </row>
    <row r="800" spans="1:7" x14ac:dyDescent="0.35">
      <c r="A800" s="1739"/>
      <c r="B800" s="613" t="s">
        <v>1936</v>
      </c>
      <c r="C800" s="613" t="s">
        <v>1283</v>
      </c>
      <c r="D800" s="1127">
        <v>8.3937765600000006E-2</v>
      </c>
      <c r="E800" s="1128">
        <v>8.26458464E-2</v>
      </c>
      <c r="F800" s="1128">
        <v>1.2345990000000001E-4</v>
      </c>
      <c r="G800" s="1128">
        <v>1.1684594000000001E-3</v>
      </c>
    </row>
    <row r="801" spans="1:7" x14ac:dyDescent="0.35">
      <c r="A801" s="1739"/>
      <c r="B801" s="613" t="s">
        <v>1939</v>
      </c>
      <c r="C801" s="613" t="s">
        <v>1283</v>
      </c>
      <c r="D801" s="1127">
        <v>0.1031911476</v>
      </c>
      <c r="E801" s="1128">
        <v>0.101602892</v>
      </c>
      <c r="F801" s="1128">
        <v>1.517787E-4</v>
      </c>
      <c r="G801" s="1128">
        <v>1.4364769E-3</v>
      </c>
    </row>
    <row r="802" spans="1:7" x14ac:dyDescent="0.35">
      <c r="A802" s="1739"/>
      <c r="B802" s="613" t="s">
        <v>1287</v>
      </c>
      <c r="C802" s="613" t="s">
        <v>1283</v>
      </c>
      <c r="D802" s="1127">
        <v>0.11446665189999999</v>
      </c>
      <c r="E802" s="1128">
        <v>0.1127048505</v>
      </c>
      <c r="F802" s="1128">
        <v>1.6836330000000001E-4</v>
      </c>
      <c r="G802" s="1128">
        <v>1.5934381E-3</v>
      </c>
    </row>
    <row r="803" spans="1:7" x14ac:dyDescent="0.35">
      <c r="A803" s="1739"/>
      <c r="B803" s="1798" t="s">
        <v>1945</v>
      </c>
      <c r="C803" s="1798"/>
      <c r="D803" s="1798"/>
      <c r="E803" s="1798"/>
      <c r="F803" s="1798"/>
      <c r="G803" s="1798"/>
    </row>
    <row r="804" spans="1:7" x14ac:dyDescent="0.35">
      <c r="A804" s="1739"/>
      <c r="B804" s="613" t="s">
        <v>1282</v>
      </c>
      <c r="C804" s="613" t="s">
        <v>1283</v>
      </c>
      <c r="D804" s="1127">
        <v>7.5781683000000002E-3</v>
      </c>
      <c r="E804" s="1128">
        <v>7.3638347000000003E-3</v>
      </c>
      <c r="F804" s="1128">
        <v>1.981447E-4</v>
      </c>
      <c r="G804" s="1128">
        <v>1.61889E-5</v>
      </c>
    </row>
    <row r="805" spans="1:7" x14ac:dyDescent="0.35">
      <c r="A805" s="1739"/>
      <c r="B805" s="613" t="s">
        <v>1935</v>
      </c>
      <c r="C805" s="613" t="s">
        <v>1283</v>
      </c>
      <c r="D805" s="1127">
        <v>7.2785790999999999E-3</v>
      </c>
      <c r="E805" s="1128">
        <v>7.0727187999999998E-3</v>
      </c>
      <c r="F805" s="1128">
        <v>1.903114E-4</v>
      </c>
      <c r="G805" s="1128">
        <v>1.5548899999999999E-5</v>
      </c>
    </row>
    <row r="806" spans="1:7" x14ac:dyDescent="0.35">
      <c r="A806" s="1739"/>
      <c r="B806" s="613" t="s">
        <v>1936</v>
      </c>
      <c r="C806" s="613" t="s">
        <v>1283</v>
      </c>
      <c r="D806" s="1127">
        <v>7.9750679000000005E-3</v>
      </c>
      <c r="E806" s="1128">
        <v>7.7495087999999998E-3</v>
      </c>
      <c r="F806" s="1128">
        <v>2.0852239999999999E-4</v>
      </c>
      <c r="G806" s="1128">
        <v>1.7036799999999999E-5</v>
      </c>
    </row>
    <row r="807" spans="1:7" x14ac:dyDescent="0.35">
      <c r="A807" s="1739"/>
      <c r="B807" s="613" t="s">
        <v>1939</v>
      </c>
      <c r="C807" s="613" t="s">
        <v>1283</v>
      </c>
      <c r="D807" s="1127">
        <v>9.0266184999999999E-3</v>
      </c>
      <c r="E807" s="1128">
        <v>8.7713183000000007E-3</v>
      </c>
      <c r="F807" s="1128">
        <v>2.3601699999999999E-4</v>
      </c>
      <c r="G807" s="1128">
        <v>1.9283199999999999E-5</v>
      </c>
    </row>
    <row r="808" spans="1:7" x14ac:dyDescent="0.35">
      <c r="A808" s="1739"/>
      <c r="B808" s="613" t="s">
        <v>1287</v>
      </c>
      <c r="C808" s="613" t="s">
        <v>1283</v>
      </c>
      <c r="D808" s="1127">
        <v>1.0676133399999999E-2</v>
      </c>
      <c r="E808" s="1128">
        <v>1.0374179900000001E-2</v>
      </c>
      <c r="F808" s="1128">
        <v>2.7914649999999998E-4</v>
      </c>
      <c r="G808" s="1128">
        <v>2.2807E-5</v>
      </c>
    </row>
    <row r="809" spans="1:7" x14ac:dyDescent="0.35">
      <c r="A809" s="1739"/>
      <c r="B809" s="1798" t="s">
        <v>1946</v>
      </c>
      <c r="C809" s="1798"/>
      <c r="D809" s="1798"/>
      <c r="E809" s="1798"/>
      <c r="F809" s="1798"/>
      <c r="G809" s="1798"/>
    </row>
    <row r="810" spans="1:7" x14ac:dyDescent="0.35">
      <c r="A810" s="1739"/>
      <c r="B810" s="613" t="s">
        <v>1282</v>
      </c>
      <c r="C810" s="613" t="s">
        <v>1283</v>
      </c>
      <c r="D810" s="1127">
        <v>1.4576388399999999E-2</v>
      </c>
      <c r="E810" s="1128">
        <v>1.41641237E-2</v>
      </c>
      <c r="F810" s="1128">
        <v>3.811256E-4</v>
      </c>
      <c r="G810" s="1128">
        <v>3.1139000000000001E-5</v>
      </c>
    </row>
    <row r="811" spans="1:7" x14ac:dyDescent="0.35">
      <c r="A811" s="1739"/>
      <c r="B811" s="613" t="s">
        <v>1935</v>
      </c>
      <c r="C811" s="613" t="s">
        <v>1283</v>
      </c>
      <c r="D811" s="1127">
        <v>1.50857783E-2</v>
      </c>
      <c r="E811" s="1128">
        <v>1.4659106599999999E-2</v>
      </c>
      <c r="F811" s="1128">
        <v>3.9444449999999999E-4</v>
      </c>
      <c r="G811" s="1128">
        <v>3.2227200000000002E-5</v>
      </c>
    </row>
    <row r="812" spans="1:7" x14ac:dyDescent="0.35">
      <c r="A812" s="1739"/>
      <c r="B812" s="613" t="s">
        <v>1936</v>
      </c>
      <c r="C812" s="613" t="s">
        <v>1283</v>
      </c>
      <c r="D812" s="1127">
        <v>1.6986194499999999E-2</v>
      </c>
      <c r="E812" s="1128">
        <v>1.6505773200000001E-2</v>
      </c>
      <c r="F812" s="1128">
        <v>4.4413429999999999E-4</v>
      </c>
      <c r="G812" s="1128">
        <v>3.62869E-5</v>
      </c>
    </row>
    <row r="813" spans="1:7" x14ac:dyDescent="0.35">
      <c r="A813" s="1739"/>
      <c r="B813" s="613" t="s">
        <v>1939</v>
      </c>
      <c r="C813" s="613" t="s">
        <v>1283</v>
      </c>
      <c r="D813" s="1127">
        <v>1.88670188E-2</v>
      </c>
      <c r="E813" s="1128">
        <v>1.83334021E-2</v>
      </c>
      <c r="F813" s="1128">
        <v>4.9331180000000002E-4</v>
      </c>
      <c r="G813" s="1128">
        <v>4.0304900000000001E-5</v>
      </c>
    </row>
    <row r="814" spans="1:7" x14ac:dyDescent="0.35">
      <c r="A814" s="1739"/>
      <c r="B814" s="613" t="s">
        <v>1287</v>
      </c>
      <c r="C814" s="613" t="s">
        <v>1283</v>
      </c>
      <c r="D814" s="1127">
        <v>2.2569891599999999E-2</v>
      </c>
      <c r="E814" s="1128">
        <v>2.1931546400000002E-2</v>
      </c>
      <c r="F814" s="1128">
        <v>5.9013000000000002E-4</v>
      </c>
      <c r="G814" s="1128">
        <v>4.8215199999999999E-5</v>
      </c>
    </row>
    <row r="815" spans="1:7" x14ac:dyDescent="0.35">
      <c r="A815" s="1739"/>
      <c r="B815" s="1798" t="s">
        <v>1947</v>
      </c>
      <c r="C815" s="1798"/>
      <c r="D815" s="1798"/>
      <c r="E815" s="1798"/>
      <c r="F815" s="1798"/>
      <c r="G815" s="1798"/>
    </row>
    <row r="816" spans="1:7" x14ac:dyDescent="0.35">
      <c r="A816" s="1739"/>
      <c r="B816" s="613" t="s">
        <v>1948</v>
      </c>
      <c r="C816" s="613" t="s">
        <v>1283</v>
      </c>
      <c r="D816" s="1127">
        <v>5.64877596E-2</v>
      </c>
      <c r="E816" s="1128">
        <v>5.4142950099999997E-2</v>
      </c>
      <c r="F816" s="1128">
        <v>7.1176219999999997E-4</v>
      </c>
      <c r="G816" s="1128">
        <v>1.6330474E-3</v>
      </c>
    </row>
    <row r="817" spans="1:7" x14ac:dyDescent="0.35">
      <c r="A817" s="1739"/>
      <c r="B817" s="613" t="s">
        <v>1949</v>
      </c>
      <c r="C817" s="613" t="s">
        <v>1283</v>
      </c>
      <c r="D817" s="1127">
        <v>0.11297551929999999</v>
      </c>
      <c r="E817" s="1128">
        <v>0.1082859001</v>
      </c>
      <c r="F817" s="1128">
        <v>1.4235242999999999E-3</v>
      </c>
      <c r="G817" s="1128">
        <v>3.2660948E-3</v>
      </c>
    </row>
    <row r="818" spans="1:7" x14ac:dyDescent="0.35">
      <c r="A818" s="1739"/>
      <c r="B818" s="613" t="s">
        <v>1950</v>
      </c>
      <c r="C818" s="613" t="s">
        <v>1283</v>
      </c>
      <c r="D818" s="1127">
        <v>3.7151511999999999E-3</v>
      </c>
      <c r="E818" s="1128">
        <v>3.6100754000000001E-3</v>
      </c>
      <c r="F818" s="1128">
        <v>9.7139200000000007E-5</v>
      </c>
      <c r="G818" s="1128">
        <v>7.9364999999999993E-6</v>
      </c>
    </row>
    <row r="819" spans="1:7" x14ac:dyDescent="0.35">
      <c r="A819" s="1739"/>
      <c r="B819" s="613" t="s">
        <v>1951</v>
      </c>
      <c r="C819" s="613" t="s">
        <v>1283</v>
      </c>
      <c r="D819" s="1127">
        <v>7.4303023000000003E-3</v>
      </c>
      <c r="E819" s="1128">
        <v>7.2201508000000001E-3</v>
      </c>
      <c r="F819" s="1128">
        <v>1.9427849999999999E-4</v>
      </c>
      <c r="G819" s="1128">
        <v>1.5873099999999999E-5</v>
      </c>
    </row>
    <row r="820" spans="1:7" x14ac:dyDescent="0.35">
      <c r="A820" s="162"/>
    </row>
    <row r="821" spans="1:7" x14ac:dyDescent="0.35">
      <c r="A821" s="1737" t="s">
        <v>1846</v>
      </c>
      <c r="B821" s="1737"/>
      <c r="C821" s="1737"/>
      <c r="D821" s="1737"/>
      <c r="E821" s="1737"/>
      <c r="F821" s="1737"/>
    </row>
    <row r="822" spans="1:7" x14ac:dyDescent="0.35">
      <c r="A822" s="1738" t="s">
        <v>1265</v>
      </c>
      <c r="B822" s="1738"/>
      <c r="C822" s="612" t="s">
        <v>1157</v>
      </c>
      <c r="D822" s="612" t="s">
        <v>1847</v>
      </c>
      <c r="E822" s="612" t="s">
        <v>1848</v>
      </c>
      <c r="F822" s="612" t="s">
        <v>1849</v>
      </c>
    </row>
    <row r="823" spans="1:7" x14ac:dyDescent="0.35">
      <c r="A823" s="1739" t="s">
        <v>1850</v>
      </c>
      <c r="B823" s="613" t="s">
        <v>1851</v>
      </c>
      <c r="C823" s="613" t="s">
        <v>1852</v>
      </c>
      <c r="D823" s="614">
        <v>50</v>
      </c>
      <c r="E823" s="613" t="s">
        <v>1853</v>
      </c>
      <c r="F823" s="613" t="s">
        <v>1326</v>
      </c>
    </row>
    <row r="824" spans="1:7" x14ac:dyDescent="0.35">
      <c r="A824" s="1739"/>
      <c r="B824" s="613" t="s">
        <v>159</v>
      </c>
      <c r="C824" s="613" t="s">
        <v>1852</v>
      </c>
      <c r="D824" s="614">
        <v>38.9</v>
      </c>
      <c r="E824" s="613" t="s">
        <v>1853</v>
      </c>
      <c r="F824" s="613" t="s">
        <v>1326</v>
      </c>
    </row>
    <row r="825" spans="1:7" x14ac:dyDescent="0.35">
      <c r="A825" s="1739"/>
      <c r="B825" s="613" t="s">
        <v>1854</v>
      </c>
      <c r="C825" s="613" t="s">
        <v>1852</v>
      </c>
      <c r="D825" s="614">
        <v>11.9</v>
      </c>
      <c r="E825" s="613" t="s">
        <v>1853</v>
      </c>
      <c r="F825" s="613" t="s">
        <v>1326</v>
      </c>
    </row>
    <row r="826" spans="1:7" x14ac:dyDescent="0.35">
      <c r="A826" s="1739"/>
      <c r="B826" s="613" t="s">
        <v>1855</v>
      </c>
      <c r="C826" s="613" t="s">
        <v>1852</v>
      </c>
      <c r="D826" s="614">
        <v>11.6</v>
      </c>
      <c r="E826" s="613" t="s">
        <v>1853</v>
      </c>
      <c r="F826" s="613" t="s">
        <v>1326</v>
      </c>
    </row>
    <row r="827" spans="1:7" x14ac:dyDescent="0.35">
      <c r="A827" s="1739"/>
      <c r="B827" s="613" t="s">
        <v>1856</v>
      </c>
      <c r="C827" s="613" t="s">
        <v>1852</v>
      </c>
      <c r="D827" s="614">
        <v>14.9</v>
      </c>
      <c r="E827" s="613" t="s">
        <v>1853</v>
      </c>
      <c r="F827" s="613" t="s">
        <v>1326</v>
      </c>
    </row>
    <row r="828" spans="1:7" x14ac:dyDescent="0.35">
      <c r="A828" s="1739"/>
      <c r="B828" s="613" t="s">
        <v>1857</v>
      </c>
      <c r="C828" s="613" t="s">
        <v>1852</v>
      </c>
      <c r="D828" s="614">
        <v>17.100000000000001</v>
      </c>
      <c r="E828" s="613" t="s">
        <v>1853</v>
      </c>
      <c r="F828" s="613" t="s">
        <v>1326</v>
      </c>
    </row>
    <row r="829" spans="1:7" x14ac:dyDescent="0.35">
      <c r="A829" s="1739"/>
      <c r="B829" s="613" t="s">
        <v>1858</v>
      </c>
      <c r="C829" s="613" t="s">
        <v>1852</v>
      </c>
      <c r="D829" s="614">
        <v>61.1</v>
      </c>
      <c r="E829" s="613" t="s">
        <v>1853</v>
      </c>
      <c r="F829" s="613" t="s">
        <v>1326</v>
      </c>
    </row>
    <row r="830" spans="1:7" x14ac:dyDescent="0.35">
      <c r="A830" s="1739"/>
      <c r="B830" s="613" t="s">
        <v>1859</v>
      </c>
      <c r="C830" s="613" t="s">
        <v>1852</v>
      </c>
      <c r="D830" s="614">
        <v>30.8</v>
      </c>
      <c r="E830" s="613" t="s">
        <v>1853</v>
      </c>
      <c r="F830" s="613" t="s">
        <v>1326</v>
      </c>
    </row>
    <row r="831" spans="1:7" x14ac:dyDescent="0.35">
      <c r="A831" s="1739"/>
      <c r="B831" s="613" t="s">
        <v>1860</v>
      </c>
      <c r="C831" s="613" t="s">
        <v>1852</v>
      </c>
      <c r="D831" s="614">
        <v>60.7</v>
      </c>
      <c r="E831" s="613" t="s">
        <v>1853</v>
      </c>
      <c r="F831" s="613" t="s">
        <v>1326</v>
      </c>
    </row>
    <row r="832" spans="1:7" x14ac:dyDescent="0.35">
      <c r="A832" s="1739"/>
      <c r="B832" s="613" t="s">
        <v>1861</v>
      </c>
      <c r="C832" s="613" t="s">
        <v>1852</v>
      </c>
      <c r="D832" s="614">
        <v>11</v>
      </c>
      <c r="E832" s="613" t="s">
        <v>1853</v>
      </c>
      <c r="F832" s="613" t="s">
        <v>1326</v>
      </c>
    </row>
    <row r="833" spans="1:6" x14ac:dyDescent="0.35">
      <c r="A833" s="1739"/>
      <c r="B833" s="613" t="s">
        <v>1862</v>
      </c>
      <c r="C833" s="613" t="s">
        <v>1852</v>
      </c>
      <c r="D833" s="614">
        <v>7</v>
      </c>
      <c r="E833" s="613" t="s">
        <v>1853</v>
      </c>
      <c r="F833" s="613" t="s">
        <v>1326</v>
      </c>
    </row>
    <row r="834" spans="1:6" x14ac:dyDescent="0.35">
      <c r="A834" s="1739"/>
      <c r="B834" s="613" t="s">
        <v>1863</v>
      </c>
      <c r="C834" s="613" t="s">
        <v>1852</v>
      </c>
      <c r="D834" s="614">
        <v>31.8</v>
      </c>
      <c r="E834" s="613" t="s">
        <v>1853</v>
      </c>
      <c r="F834" s="613" t="s">
        <v>1326</v>
      </c>
    </row>
    <row r="835" spans="1:6" x14ac:dyDescent="0.35">
      <c r="A835" s="1739"/>
      <c r="B835" s="613" t="s">
        <v>1864</v>
      </c>
      <c r="C835" s="613" t="s">
        <v>1852</v>
      </c>
      <c r="D835" s="614">
        <v>54</v>
      </c>
      <c r="E835" s="613" t="s">
        <v>1853</v>
      </c>
      <c r="F835" s="613" t="s">
        <v>1326</v>
      </c>
    </row>
    <row r="836" spans="1:6" x14ac:dyDescent="0.35">
      <c r="A836" s="1739"/>
      <c r="B836" s="613" t="s">
        <v>1865</v>
      </c>
      <c r="C836" s="613" t="s">
        <v>1852</v>
      </c>
      <c r="D836" s="614">
        <v>54.8</v>
      </c>
      <c r="E836" s="613" t="s">
        <v>1853</v>
      </c>
      <c r="F836" s="613" t="s">
        <v>1326</v>
      </c>
    </row>
    <row r="837" spans="1:6" x14ac:dyDescent="0.35">
      <c r="A837" s="1739"/>
      <c r="B837" s="613" t="s">
        <v>1866</v>
      </c>
      <c r="C837" s="613" t="s">
        <v>1852</v>
      </c>
      <c r="D837" s="614">
        <v>11.1</v>
      </c>
      <c r="E837" s="613" t="s">
        <v>1853</v>
      </c>
      <c r="F837" s="613" t="s">
        <v>1326</v>
      </c>
    </row>
    <row r="838" spans="1:6" x14ac:dyDescent="0.35">
      <c r="A838" s="1739"/>
      <c r="B838" s="613" t="s">
        <v>1867</v>
      </c>
      <c r="C838" s="613" t="s">
        <v>1852</v>
      </c>
      <c r="D838" s="614">
        <v>7.5</v>
      </c>
      <c r="E838" s="613" t="s">
        <v>1853</v>
      </c>
      <c r="F838" s="613" t="s">
        <v>1326</v>
      </c>
    </row>
    <row r="839" spans="1:6" x14ac:dyDescent="0.35">
      <c r="A839" s="1739"/>
      <c r="B839" s="613" t="s">
        <v>1868</v>
      </c>
      <c r="C839" s="613" t="s">
        <v>1852</v>
      </c>
      <c r="D839" s="614">
        <v>18.2</v>
      </c>
      <c r="E839" s="613" t="s">
        <v>1853</v>
      </c>
      <c r="F839" s="613" t="s">
        <v>1326</v>
      </c>
    </row>
    <row r="840" spans="1:6" x14ac:dyDescent="0.35">
      <c r="A840" s="1739"/>
      <c r="B840" s="613" t="s">
        <v>1869</v>
      </c>
      <c r="C840" s="613" t="s">
        <v>1852</v>
      </c>
      <c r="D840" s="614">
        <v>42.8</v>
      </c>
      <c r="E840" s="613" t="s">
        <v>1853</v>
      </c>
      <c r="F840" s="613" t="s">
        <v>1326</v>
      </c>
    </row>
    <row r="841" spans="1:6" x14ac:dyDescent="0.35">
      <c r="A841" s="1739"/>
      <c r="B841" s="613" t="s">
        <v>1870</v>
      </c>
      <c r="C841" s="613" t="s">
        <v>1852</v>
      </c>
      <c r="D841" s="614">
        <v>66.2</v>
      </c>
      <c r="E841" s="613" t="s">
        <v>1853</v>
      </c>
      <c r="F841" s="613" t="s">
        <v>1326</v>
      </c>
    </row>
    <row r="842" spans="1:6" x14ac:dyDescent="0.35">
      <c r="A842" s="1739"/>
      <c r="B842" s="613" t="s">
        <v>1871</v>
      </c>
      <c r="C842" s="613" t="s">
        <v>1852</v>
      </c>
      <c r="D842" s="614">
        <v>22</v>
      </c>
      <c r="E842" s="613" t="s">
        <v>1853</v>
      </c>
      <c r="F842" s="613" t="s">
        <v>1326</v>
      </c>
    </row>
    <row r="843" spans="1:6" x14ac:dyDescent="0.35">
      <c r="A843" s="1739"/>
      <c r="B843" s="613" t="s">
        <v>1872</v>
      </c>
      <c r="C843" s="613" t="s">
        <v>1852</v>
      </c>
      <c r="D843" s="614">
        <v>66</v>
      </c>
      <c r="E843" s="613" t="s">
        <v>1853</v>
      </c>
      <c r="F843" s="613" t="s">
        <v>1326</v>
      </c>
    </row>
    <row r="844" spans="1:6" x14ac:dyDescent="0.35">
      <c r="A844" s="1739"/>
      <c r="B844" s="613" t="s">
        <v>1873</v>
      </c>
      <c r="C844" s="613" t="s">
        <v>1852</v>
      </c>
      <c r="D844" s="614">
        <v>88.2</v>
      </c>
      <c r="E844" s="613" t="s">
        <v>1853</v>
      </c>
      <c r="F844" s="613" t="s">
        <v>1326</v>
      </c>
    </row>
    <row r="845" spans="1:6" x14ac:dyDescent="0.35">
      <c r="A845" s="1739"/>
      <c r="B845" s="613" t="s">
        <v>1874</v>
      </c>
      <c r="C845" s="613" t="s">
        <v>1852</v>
      </c>
      <c r="D845" s="614">
        <v>23.9</v>
      </c>
      <c r="E845" s="613" t="s">
        <v>1853</v>
      </c>
      <c r="F845" s="613" t="s">
        <v>1326</v>
      </c>
    </row>
    <row r="846" spans="1:6" x14ac:dyDescent="0.35">
      <c r="A846" s="1739"/>
      <c r="B846" s="613" t="s">
        <v>1875</v>
      </c>
      <c r="C846" s="613" t="s">
        <v>1852</v>
      </c>
      <c r="D846" s="614">
        <v>51.8</v>
      </c>
      <c r="E846" s="613" t="s">
        <v>1853</v>
      </c>
      <c r="F846" s="613" t="s">
        <v>1326</v>
      </c>
    </row>
    <row r="847" spans="1:6" x14ac:dyDescent="0.35">
      <c r="A847" s="1739"/>
      <c r="B847" s="613" t="s">
        <v>1876</v>
      </c>
      <c r="C847" s="613" t="s">
        <v>1852</v>
      </c>
      <c r="D847" s="614">
        <v>23.9</v>
      </c>
      <c r="E847" s="613" t="s">
        <v>1853</v>
      </c>
      <c r="F847" s="613" t="s">
        <v>1326</v>
      </c>
    </row>
    <row r="848" spans="1:6" x14ac:dyDescent="0.35">
      <c r="A848" s="1739"/>
      <c r="B848" s="613" t="s">
        <v>1877</v>
      </c>
      <c r="C848" s="613" t="s">
        <v>1852</v>
      </c>
      <c r="D848" s="614">
        <v>54.7</v>
      </c>
      <c r="E848" s="613" t="s">
        <v>1853</v>
      </c>
      <c r="F848" s="613" t="s">
        <v>1326</v>
      </c>
    </row>
    <row r="849" spans="1:6" x14ac:dyDescent="0.35">
      <c r="A849" s="1739"/>
      <c r="B849" s="613" t="s">
        <v>1878</v>
      </c>
      <c r="C849" s="613" t="s">
        <v>1852</v>
      </c>
      <c r="D849" s="614">
        <v>64.5</v>
      </c>
      <c r="E849" s="613" t="s">
        <v>1853</v>
      </c>
      <c r="F849" s="613" t="s">
        <v>1326</v>
      </c>
    </row>
    <row r="850" spans="1:6" x14ac:dyDescent="0.35">
      <c r="A850" s="1739"/>
      <c r="B850" s="613" t="s">
        <v>1879</v>
      </c>
      <c r="C850" s="613" t="s">
        <v>1852</v>
      </c>
      <c r="D850" s="614">
        <v>105.7</v>
      </c>
      <c r="E850" s="613" t="s">
        <v>1853</v>
      </c>
      <c r="F850" s="613" t="s">
        <v>1326</v>
      </c>
    </row>
    <row r="851" spans="1:6" x14ac:dyDescent="0.35">
      <c r="A851" s="1739"/>
      <c r="B851" s="613" t="s">
        <v>1880</v>
      </c>
      <c r="C851" s="613" t="s">
        <v>1852</v>
      </c>
      <c r="D851" s="614">
        <v>68.099999999999994</v>
      </c>
      <c r="E851" s="613" t="s">
        <v>1853</v>
      </c>
      <c r="F851" s="613" t="s">
        <v>1326</v>
      </c>
    </row>
    <row r="852" spans="1:6" x14ac:dyDescent="0.35">
      <c r="A852" s="1739"/>
      <c r="B852" s="613" t="s">
        <v>1881</v>
      </c>
      <c r="C852" s="613" t="s">
        <v>1852</v>
      </c>
      <c r="D852" s="614">
        <v>80.3</v>
      </c>
      <c r="E852" s="613" t="s">
        <v>1853</v>
      </c>
      <c r="F852" s="613" t="s">
        <v>1326</v>
      </c>
    </row>
    <row r="853" spans="1:6" x14ac:dyDescent="0.35">
      <c r="A853" s="1739"/>
      <c r="B853" s="613" t="s">
        <v>1882</v>
      </c>
      <c r="C853" s="613" t="s">
        <v>1852</v>
      </c>
      <c r="D853" s="614">
        <v>176.5</v>
      </c>
      <c r="E853" s="613" t="s">
        <v>1853</v>
      </c>
      <c r="F853" s="613" t="s">
        <v>1326</v>
      </c>
    </row>
    <row r="854" spans="1:6" x14ac:dyDescent="0.35">
      <c r="A854" s="1739"/>
      <c r="B854" s="613" t="s">
        <v>1883</v>
      </c>
      <c r="C854" s="613" t="s">
        <v>1852</v>
      </c>
      <c r="D854" s="614">
        <v>27</v>
      </c>
      <c r="E854" s="613" t="s">
        <v>1853</v>
      </c>
      <c r="F854" s="613" t="s">
        <v>1326</v>
      </c>
    </row>
    <row r="855" spans="1:6" x14ac:dyDescent="0.35">
      <c r="A855" s="1739"/>
      <c r="B855" s="613" t="s">
        <v>1884</v>
      </c>
      <c r="C855" s="613" t="s">
        <v>1852</v>
      </c>
      <c r="D855" s="614">
        <v>104</v>
      </c>
      <c r="E855" s="613" t="s">
        <v>1853</v>
      </c>
      <c r="F855" s="613" t="s">
        <v>1326</v>
      </c>
    </row>
    <row r="856" spans="1:6" x14ac:dyDescent="0.35">
      <c r="A856" s="1739"/>
      <c r="B856" s="613" t="s">
        <v>1885</v>
      </c>
      <c r="C856" s="613" t="s">
        <v>1852</v>
      </c>
      <c r="D856" s="614">
        <v>21.2</v>
      </c>
      <c r="E856" s="613" t="s">
        <v>1853</v>
      </c>
      <c r="F856" s="613" t="s">
        <v>1326</v>
      </c>
    </row>
    <row r="857" spans="1:6" x14ac:dyDescent="0.35">
      <c r="A857" s="1739"/>
      <c r="B857" s="613" t="s">
        <v>1886</v>
      </c>
      <c r="C857" s="613" t="s">
        <v>1852</v>
      </c>
      <c r="D857" s="614">
        <v>9.4</v>
      </c>
      <c r="E857" s="613" t="s">
        <v>1853</v>
      </c>
      <c r="F857" s="613" t="s">
        <v>1326</v>
      </c>
    </row>
    <row r="858" spans="1:6" x14ac:dyDescent="0.35">
      <c r="A858" s="1739"/>
      <c r="B858" s="613" t="s">
        <v>1887</v>
      </c>
      <c r="C858" s="613" t="s">
        <v>1852</v>
      </c>
      <c r="D858" s="614">
        <v>117.3</v>
      </c>
      <c r="E858" s="613" t="s">
        <v>1853</v>
      </c>
      <c r="F858" s="613" t="s">
        <v>1326</v>
      </c>
    </row>
    <row r="859" spans="1:6" x14ac:dyDescent="0.35">
      <c r="A859" s="1739"/>
      <c r="B859" s="613" t="s">
        <v>1888</v>
      </c>
      <c r="C859" s="613" t="s">
        <v>1852</v>
      </c>
      <c r="D859" s="614">
        <v>23.7</v>
      </c>
      <c r="E859" s="613" t="s">
        <v>1853</v>
      </c>
      <c r="F859" s="613" t="s">
        <v>1326</v>
      </c>
    </row>
    <row r="860" spans="1:6" x14ac:dyDescent="0.35">
      <c r="A860" s="1739"/>
      <c r="B860" s="613" t="s">
        <v>1889</v>
      </c>
      <c r="C860" s="613" t="s">
        <v>1852</v>
      </c>
      <c r="D860" s="614">
        <v>29.9</v>
      </c>
      <c r="E860" s="613" t="s">
        <v>1853</v>
      </c>
      <c r="F860" s="613" t="s">
        <v>1326</v>
      </c>
    </row>
    <row r="861" spans="1:6" x14ac:dyDescent="0.35">
      <c r="A861" s="1739"/>
      <c r="B861" s="613" t="s">
        <v>1890</v>
      </c>
      <c r="C861" s="613" t="s">
        <v>1852</v>
      </c>
      <c r="D861" s="614">
        <v>62.9</v>
      </c>
      <c r="E861" s="613" t="s">
        <v>1853</v>
      </c>
      <c r="F861" s="613" t="s">
        <v>1326</v>
      </c>
    </row>
    <row r="862" spans="1:6" x14ac:dyDescent="0.35">
      <c r="A862" s="1739"/>
      <c r="B862" s="613" t="s">
        <v>1891</v>
      </c>
      <c r="C862" s="613" t="s">
        <v>1852</v>
      </c>
      <c r="D862" s="614">
        <v>35.799999999999997</v>
      </c>
      <c r="E862" s="613" t="s">
        <v>1853</v>
      </c>
      <c r="F862" s="613" t="s">
        <v>1326</v>
      </c>
    </row>
    <row r="863" spans="1:6" x14ac:dyDescent="0.35">
      <c r="A863" s="1739"/>
      <c r="B863" s="613" t="s">
        <v>1892</v>
      </c>
      <c r="C863" s="613" t="s">
        <v>1852</v>
      </c>
      <c r="D863" s="614">
        <v>27.2</v>
      </c>
      <c r="E863" s="613" t="s">
        <v>1853</v>
      </c>
      <c r="F863" s="613" t="s">
        <v>1326</v>
      </c>
    </row>
    <row r="864" spans="1:6" x14ac:dyDescent="0.35">
      <c r="A864" s="1739"/>
      <c r="B864" s="613" t="s">
        <v>1893</v>
      </c>
      <c r="C864" s="613" t="s">
        <v>1852</v>
      </c>
      <c r="D864" s="614">
        <v>104.9</v>
      </c>
      <c r="E864" s="613" t="s">
        <v>1853</v>
      </c>
      <c r="F864" s="613" t="s">
        <v>1326</v>
      </c>
    </row>
    <row r="865" spans="1:17" x14ac:dyDescent="0.35">
      <c r="A865" s="1739"/>
      <c r="B865" s="613" t="s">
        <v>1894</v>
      </c>
      <c r="C865" s="613" t="s">
        <v>1852</v>
      </c>
      <c r="D865" s="614">
        <v>25.5</v>
      </c>
      <c r="E865" s="613" t="s">
        <v>1853</v>
      </c>
      <c r="F865" s="613" t="s">
        <v>1326</v>
      </c>
    </row>
    <row r="866" spans="1:17" x14ac:dyDescent="0.35">
      <c r="A866" s="1739"/>
      <c r="B866" s="613" t="s">
        <v>1895</v>
      </c>
      <c r="C866" s="613" t="s">
        <v>1852</v>
      </c>
      <c r="D866" s="614">
        <v>30.9</v>
      </c>
      <c r="E866" s="613" t="s">
        <v>1853</v>
      </c>
      <c r="F866" s="613" t="s">
        <v>1326</v>
      </c>
    </row>
    <row r="867" spans="1:17" x14ac:dyDescent="0.35">
      <c r="A867" s="1739"/>
      <c r="B867" s="613" t="s">
        <v>1896</v>
      </c>
      <c r="C867" s="613" t="s">
        <v>1852</v>
      </c>
      <c r="D867" s="614">
        <v>112.5</v>
      </c>
      <c r="E867" s="613" t="s">
        <v>1853</v>
      </c>
      <c r="F867" s="613" t="s">
        <v>1326</v>
      </c>
    </row>
    <row r="868" spans="1:17" x14ac:dyDescent="0.35">
      <c r="A868" s="1739"/>
      <c r="B868" s="613" t="s">
        <v>1897</v>
      </c>
      <c r="C868" s="613" t="s">
        <v>1852</v>
      </c>
      <c r="D868" s="614">
        <v>28.5</v>
      </c>
      <c r="E868" s="613" t="s">
        <v>1853</v>
      </c>
      <c r="F868" s="613" t="s">
        <v>1326</v>
      </c>
    </row>
    <row r="869" spans="1:17" x14ac:dyDescent="0.35">
      <c r="A869" s="1739"/>
      <c r="B869" s="613" t="s">
        <v>1898</v>
      </c>
      <c r="C869" s="613" t="s">
        <v>1852</v>
      </c>
      <c r="D869" s="614">
        <v>56.6</v>
      </c>
      <c r="E869" s="613" t="s">
        <v>1853</v>
      </c>
      <c r="F869" s="613" t="s">
        <v>1326</v>
      </c>
    </row>
    <row r="870" spans="1:17" x14ac:dyDescent="0.35">
      <c r="A870" s="1739"/>
      <c r="B870" s="613" t="s">
        <v>1899</v>
      </c>
      <c r="C870" s="613" t="s">
        <v>1852</v>
      </c>
      <c r="D870" s="614">
        <v>56.5</v>
      </c>
      <c r="E870" s="613" t="s">
        <v>1853</v>
      </c>
      <c r="F870" s="613" t="s">
        <v>1326</v>
      </c>
    </row>
    <row r="871" spans="1:17" x14ac:dyDescent="0.35">
      <c r="A871" s="1739"/>
      <c r="B871" s="613" t="s">
        <v>1900</v>
      </c>
      <c r="C871" s="613" t="s">
        <v>1852</v>
      </c>
      <c r="D871" s="614">
        <v>16.3</v>
      </c>
      <c r="E871" s="613" t="s">
        <v>1853</v>
      </c>
      <c r="F871" s="613" t="s">
        <v>1326</v>
      </c>
    </row>
    <row r="872" spans="1:17" x14ac:dyDescent="0.35">
      <c r="A872" s="1739"/>
      <c r="B872" s="613" t="s">
        <v>1901</v>
      </c>
      <c r="C872" s="613" t="s">
        <v>1852</v>
      </c>
      <c r="D872" s="614">
        <v>7.4</v>
      </c>
      <c r="E872" s="613" t="s">
        <v>1853</v>
      </c>
      <c r="F872" s="613" t="s">
        <v>1326</v>
      </c>
    </row>
    <row r="873" spans="1:17" x14ac:dyDescent="0.35">
      <c r="A873" s="1739"/>
      <c r="B873" s="613" t="s">
        <v>1902</v>
      </c>
      <c r="C873" s="613" t="s">
        <v>1852</v>
      </c>
      <c r="D873" s="614">
        <v>55.9</v>
      </c>
      <c r="E873" s="613" t="s">
        <v>1853</v>
      </c>
      <c r="F873" s="613" t="s">
        <v>1326</v>
      </c>
    </row>
    <row r="874" spans="1:17" x14ac:dyDescent="0.35">
      <c r="A874" s="1739"/>
      <c r="B874" s="613" t="s">
        <v>1903</v>
      </c>
      <c r="C874" s="613" t="s">
        <v>1852</v>
      </c>
      <c r="D874" s="614">
        <v>38</v>
      </c>
      <c r="E874" s="613" t="s">
        <v>1853</v>
      </c>
      <c r="F874" s="613" t="s">
        <v>1326</v>
      </c>
    </row>
    <row r="875" spans="1:17" x14ac:dyDescent="0.35">
      <c r="A875" s="1739"/>
      <c r="B875" s="613" t="s">
        <v>1904</v>
      </c>
      <c r="C875" s="613" t="s">
        <v>1852</v>
      </c>
      <c r="D875" s="614">
        <v>95.9</v>
      </c>
      <c r="E875" s="613" t="s">
        <v>1853</v>
      </c>
      <c r="F875" s="613" t="s">
        <v>1326</v>
      </c>
    </row>
    <row r="876" spans="1:17" x14ac:dyDescent="0.35">
      <c r="A876" s="1739"/>
      <c r="B876" s="613" t="s">
        <v>1905</v>
      </c>
      <c r="C876" s="613" t="s">
        <v>1852</v>
      </c>
      <c r="D876" s="614">
        <v>13.4</v>
      </c>
      <c r="E876" s="613" t="s">
        <v>1853</v>
      </c>
      <c r="F876" s="613" t="s">
        <v>1326</v>
      </c>
    </row>
    <row r="877" spans="1:17" x14ac:dyDescent="0.35">
      <c r="A877" s="1739"/>
      <c r="B877" s="613" t="s">
        <v>1906</v>
      </c>
      <c r="C877" s="613" t="s">
        <v>1852</v>
      </c>
      <c r="D877" s="614">
        <v>19.8</v>
      </c>
      <c r="E877" s="613" t="s">
        <v>1853</v>
      </c>
      <c r="F877" s="613" t="s">
        <v>1326</v>
      </c>
    </row>
    <row r="878" spans="1:17" x14ac:dyDescent="0.35">
      <c r="A878" s="1739"/>
      <c r="B878" s="613" t="s">
        <v>1907</v>
      </c>
      <c r="C878" s="613" t="s">
        <v>1852</v>
      </c>
      <c r="D878" s="614">
        <v>49.2</v>
      </c>
      <c r="E878" s="613" t="s">
        <v>1853</v>
      </c>
      <c r="F878" s="613" t="s">
        <v>1326</v>
      </c>
    </row>
    <row r="879" spans="1:17" ht="15.5" x14ac:dyDescent="0.35">
      <c r="A879" s="250" t="s">
        <v>1908</v>
      </c>
    </row>
    <row r="880" spans="1:17" ht="23.5" x14ac:dyDescent="0.55000000000000004">
      <c r="A880" s="1651" t="s">
        <v>63</v>
      </c>
      <c r="B880" s="1652"/>
      <c r="C880" s="1652"/>
      <c r="D880" s="1652"/>
      <c r="E880" s="1652"/>
      <c r="F880" s="1652"/>
      <c r="G880" s="1652"/>
      <c r="H880" s="1652"/>
      <c r="I880" s="1652"/>
      <c r="J880" s="1652"/>
      <c r="K880" s="1652"/>
      <c r="L880" s="1652"/>
      <c r="M880" s="1652"/>
      <c r="N880" s="1652"/>
      <c r="O880" s="1652"/>
      <c r="P880" s="1652"/>
      <c r="Q880" s="1653"/>
    </row>
    <row r="881" spans="1:1" x14ac:dyDescent="0.35">
      <c r="A881" s="6" t="s">
        <v>1435</v>
      </c>
    </row>
    <row r="882" spans="1:1" x14ac:dyDescent="0.35">
      <c r="A882" s="2"/>
    </row>
    <row r="883" spans="1:1" x14ac:dyDescent="0.35">
      <c r="A883" s="2"/>
    </row>
    <row r="884" spans="1:1" x14ac:dyDescent="0.35">
      <c r="A884" s="2"/>
    </row>
    <row r="885" spans="1:1" x14ac:dyDescent="0.35">
      <c r="A885" s="2"/>
    </row>
    <row r="886" spans="1:1" x14ac:dyDescent="0.35">
      <c r="A886" s="2"/>
    </row>
    <row r="887" spans="1:1" x14ac:dyDescent="0.35">
      <c r="A887" s="2"/>
    </row>
    <row r="888" spans="1:1" x14ac:dyDescent="0.35">
      <c r="A888" s="2"/>
    </row>
    <row r="889" spans="1:1" x14ac:dyDescent="0.35">
      <c r="A889" s="2"/>
    </row>
    <row r="890" spans="1:1" x14ac:dyDescent="0.35">
      <c r="A890" s="2"/>
    </row>
    <row r="891" spans="1:1" x14ac:dyDescent="0.35">
      <c r="A891" s="2"/>
    </row>
    <row r="892" spans="1:1" x14ac:dyDescent="0.35">
      <c r="A892" s="2"/>
    </row>
    <row r="893" spans="1:1" x14ac:dyDescent="0.35">
      <c r="A893" s="2"/>
    </row>
    <row r="894" spans="1:1" x14ac:dyDescent="0.35">
      <c r="A894" s="2"/>
    </row>
    <row r="895" spans="1:1" x14ac:dyDescent="0.35">
      <c r="A895" s="2"/>
    </row>
    <row r="896" spans="1:1" x14ac:dyDescent="0.35">
      <c r="A896" s="2"/>
    </row>
    <row r="897" spans="1:1" x14ac:dyDescent="0.35">
      <c r="A897" s="2"/>
    </row>
    <row r="898" spans="1:1" x14ac:dyDescent="0.35">
      <c r="A898" s="2"/>
    </row>
    <row r="899" spans="1:1" x14ac:dyDescent="0.35">
      <c r="A899" s="2"/>
    </row>
    <row r="900" spans="1:1" x14ac:dyDescent="0.35">
      <c r="A900" s="2"/>
    </row>
    <row r="901" spans="1:1" x14ac:dyDescent="0.35">
      <c r="A901" s="2"/>
    </row>
    <row r="902" spans="1:1" x14ac:dyDescent="0.35">
      <c r="A902" s="2"/>
    </row>
    <row r="903" spans="1:1" x14ac:dyDescent="0.35">
      <c r="A903" s="2"/>
    </row>
    <row r="904" spans="1:1" x14ac:dyDescent="0.35">
      <c r="A904" s="2"/>
    </row>
    <row r="905" spans="1:1" x14ac:dyDescent="0.35">
      <c r="A905" s="2"/>
    </row>
    <row r="906" spans="1:1" x14ac:dyDescent="0.35">
      <c r="A906" s="2"/>
    </row>
    <row r="907" spans="1:1" x14ac:dyDescent="0.35">
      <c r="A907" s="2"/>
    </row>
    <row r="908" spans="1:1" x14ac:dyDescent="0.35">
      <c r="A908" s="2"/>
    </row>
    <row r="909" spans="1:1" x14ac:dyDescent="0.35">
      <c r="A909" s="2"/>
    </row>
    <row r="910" spans="1:1" x14ac:dyDescent="0.35">
      <c r="A910" s="2"/>
    </row>
    <row r="911" spans="1:1" x14ac:dyDescent="0.35">
      <c r="A911" s="2"/>
    </row>
    <row r="912" spans="1:1" x14ac:dyDescent="0.35">
      <c r="A912" s="2"/>
    </row>
    <row r="913" spans="1:1" x14ac:dyDescent="0.35">
      <c r="A913" s="2"/>
    </row>
    <row r="914" spans="1:1" x14ac:dyDescent="0.35">
      <c r="A914" s="2"/>
    </row>
    <row r="915" spans="1:1" x14ac:dyDescent="0.35">
      <c r="A915" s="2"/>
    </row>
    <row r="916" spans="1:1" x14ac:dyDescent="0.35">
      <c r="A916" s="2"/>
    </row>
    <row r="917" spans="1:1" x14ac:dyDescent="0.35">
      <c r="A917" s="2"/>
    </row>
    <row r="918" spans="1:1" x14ac:dyDescent="0.35">
      <c r="A918" s="2"/>
    </row>
    <row r="919" spans="1:1" x14ac:dyDescent="0.35">
      <c r="A919" s="2"/>
    </row>
    <row r="920" spans="1:1" x14ac:dyDescent="0.35">
      <c r="A920" s="2"/>
    </row>
    <row r="921" spans="1:1" x14ac:dyDescent="0.35">
      <c r="A921" s="2"/>
    </row>
    <row r="922" spans="1:1" x14ac:dyDescent="0.35">
      <c r="A922" s="2"/>
    </row>
    <row r="923" spans="1:1" x14ac:dyDescent="0.35">
      <c r="A923" s="2"/>
    </row>
    <row r="924" spans="1:1" x14ac:dyDescent="0.35">
      <c r="A924" s="2"/>
    </row>
    <row r="925" spans="1:1" x14ac:dyDescent="0.35">
      <c r="A925" s="2"/>
    </row>
    <row r="926" spans="1:1" x14ac:dyDescent="0.35">
      <c r="A926" s="2"/>
    </row>
    <row r="927" spans="1:1" x14ac:dyDescent="0.35">
      <c r="A927" s="2"/>
    </row>
    <row r="928" spans="1:1" x14ac:dyDescent="0.35">
      <c r="A928" s="2"/>
    </row>
    <row r="929" spans="1:17" x14ac:dyDescent="0.35">
      <c r="A929" s="2"/>
    </row>
    <row r="930" spans="1:17" x14ac:dyDescent="0.35">
      <c r="A930" s="2"/>
    </row>
    <row r="931" spans="1:17" x14ac:dyDescent="0.35">
      <c r="A931" s="2"/>
    </row>
    <row r="932" spans="1:17" x14ac:dyDescent="0.35">
      <c r="A932" s="2"/>
    </row>
    <row r="933" spans="1:17" x14ac:dyDescent="0.35">
      <c r="A933" s="2"/>
    </row>
    <row r="934" spans="1:17" x14ac:dyDescent="0.35">
      <c r="A934" s="2"/>
    </row>
    <row r="935" spans="1:17" x14ac:dyDescent="0.35">
      <c r="A935" s="2"/>
    </row>
    <row r="936" spans="1:17" x14ac:dyDescent="0.35">
      <c r="A936" s="2"/>
    </row>
    <row r="937" spans="1:17" x14ac:dyDescent="0.35">
      <c r="A937" s="2"/>
    </row>
    <row r="938" spans="1:17" x14ac:dyDescent="0.35">
      <c r="A938" s="2"/>
    </row>
    <row r="940" spans="1:17" ht="23.5" x14ac:dyDescent="0.55000000000000004">
      <c r="A940" s="1651" t="s">
        <v>106</v>
      </c>
      <c r="B940" s="1652"/>
      <c r="C940" s="1652"/>
      <c r="D940" s="1652"/>
      <c r="E940" s="1652"/>
      <c r="F940" s="1652"/>
      <c r="G940" s="1652"/>
      <c r="H940" s="1652"/>
      <c r="I940" s="1652"/>
      <c r="J940" s="1652"/>
      <c r="K940" s="1652"/>
      <c r="L940" s="1652"/>
      <c r="M940" s="1652"/>
      <c r="N940" s="1652"/>
      <c r="O940" s="1652"/>
      <c r="P940" s="1652"/>
      <c r="Q940" s="1653"/>
    </row>
    <row r="942" spans="1:17" x14ac:dyDescent="0.35">
      <c r="A942" s="1700" t="s">
        <v>1436</v>
      </c>
      <c r="B942" s="1701"/>
      <c r="C942" s="1701"/>
      <c r="D942" s="1701"/>
      <c r="E942" s="1702"/>
    </row>
    <row r="943" spans="1:17" x14ac:dyDescent="0.35">
      <c r="A943" s="11" t="s">
        <v>1437</v>
      </c>
      <c r="B943" s="11" t="s">
        <v>1338</v>
      </c>
      <c r="C943" s="11" t="s">
        <v>1438</v>
      </c>
      <c r="D943" s="11" t="s">
        <v>1439</v>
      </c>
      <c r="E943" s="11" t="s">
        <v>1440</v>
      </c>
    </row>
    <row r="944" spans="1:17" x14ac:dyDescent="0.35">
      <c r="A944" s="68" t="s">
        <v>955</v>
      </c>
      <c r="B944" s="69">
        <v>1740.2670000000001</v>
      </c>
      <c r="C944" s="8"/>
      <c r="D944" s="8"/>
      <c r="E944" s="8" t="s">
        <v>1441</v>
      </c>
      <c r="F944" s="6" t="s">
        <v>1442</v>
      </c>
    </row>
    <row r="945" spans="1:6" x14ac:dyDescent="0.35">
      <c r="A945" s="68" t="s">
        <v>955</v>
      </c>
      <c r="B945" s="8">
        <v>857.5</v>
      </c>
      <c r="C945" s="8"/>
      <c r="D945" s="8"/>
      <c r="E945" s="8" t="s">
        <v>1443</v>
      </c>
      <c r="F945" s="6" t="s">
        <v>1444</v>
      </c>
    </row>
    <row r="946" spans="1:6" x14ac:dyDescent="0.35">
      <c r="A946" s="22" t="s">
        <v>779</v>
      </c>
      <c r="B946" s="8">
        <v>3.75</v>
      </c>
      <c r="C946" s="8">
        <v>3.29</v>
      </c>
      <c r="D946" s="8">
        <v>4.17</v>
      </c>
      <c r="E946" s="8" t="s">
        <v>1445</v>
      </c>
    </row>
    <row r="947" spans="1:6" x14ac:dyDescent="0.35">
      <c r="A947" s="22" t="s">
        <v>961</v>
      </c>
      <c r="B947" s="8">
        <v>6.04</v>
      </c>
      <c r="C947" s="8">
        <v>2.74</v>
      </c>
      <c r="D947" s="8">
        <v>12.7</v>
      </c>
      <c r="E947" s="8" t="s">
        <v>1445</v>
      </c>
    </row>
    <row r="948" spans="1:6" x14ac:dyDescent="0.35">
      <c r="A948" s="22" t="s">
        <v>962</v>
      </c>
      <c r="B948" s="8">
        <v>3.11</v>
      </c>
      <c r="C948" s="8">
        <v>2.4</v>
      </c>
      <c r="D948" s="8">
        <v>3.75</v>
      </c>
      <c r="E948" s="8" t="s">
        <v>1445</v>
      </c>
    </row>
    <row r="949" spans="1:6" x14ac:dyDescent="0.35">
      <c r="A949" s="22" t="s">
        <v>1446</v>
      </c>
      <c r="B949" s="8">
        <v>8.27</v>
      </c>
      <c r="C949" s="8">
        <v>6.15</v>
      </c>
      <c r="D949" s="8">
        <v>12.76</v>
      </c>
      <c r="E949" s="8" t="s">
        <v>1445</v>
      </c>
    </row>
    <row r="950" spans="1:6" x14ac:dyDescent="0.35">
      <c r="A950" s="22" t="s">
        <v>958</v>
      </c>
      <c r="B950" s="8">
        <v>8.31</v>
      </c>
      <c r="C950" s="8">
        <v>6.18</v>
      </c>
      <c r="D950" s="8">
        <v>12.79</v>
      </c>
      <c r="E950" s="8" t="s">
        <v>1445</v>
      </c>
    </row>
    <row r="951" spans="1:6" x14ac:dyDescent="0.35">
      <c r="A951" s="22" t="s">
        <v>963</v>
      </c>
      <c r="B951" s="8">
        <v>2.4</v>
      </c>
      <c r="C951" s="8">
        <v>0.75</v>
      </c>
      <c r="D951" s="8">
        <v>4.67</v>
      </c>
      <c r="E951" s="8" t="s">
        <v>1445</v>
      </c>
    </row>
    <row r="952" spans="1:6" x14ac:dyDescent="0.35">
      <c r="A952" s="22" t="s">
        <v>964</v>
      </c>
      <c r="B952" s="8">
        <v>4</v>
      </c>
      <c r="C952" s="8">
        <v>2.3199999999999998</v>
      </c>
      <c r="D952" s="8">
        <v>5.0599999999999996</v>
      </c>
      <c r="E952" s="8" t="s">
        <v>1447</v>
      </c>
    </row>
    <row r="953" spans="1:6" x14ac:dyDescent="0.35">
      <c r="A953" s="22" t="s">
        <v>957</v>
      </c>
      <c r="B953" s="8">
        <v>1.29</v>
      </c>
      <c r="C953" s="8">
        <v>0.12</v>
      </c>
      <c r="D953" s="8">
        <v>2.11</v>
      </c>
      <c r="E953" s="8" t="s">
        <v>1447</v>
      </c>
    </row>
    <row r="954" spans="1:6" x14ac:dyDescent="0.35">
      <c r="A954" s="22" t="s">
        <v>960</v>
      </c>
      <c r="B954" s="8">
        <v>1.02</v>
      </c>
      <c r="C954" s="8">
        <v>0.21</v>
      </c>
      <c r="D954" s="8">
        <v>1.71</v>
      </c>
      <c r="E954" s="8" t="s">
        <v>1447</v>
      </c>
    </row>
    <row r="955" spans="1:6" x14ac:dyDescent="0.35">
      <c r="A955" s="22" t="s">
        <v>965</v>
      </c>
      <c r="B955" s="8">
        <v>7.3999999999999996E-2</v>
      </c>
      <c r="C955" s="8">
        <v>5.3999999999999999E-2</v>
      </c>
      <c r="D955" s="8">
        <v>8.8999999999999996E-2</v>
      </c>
      <c r="E955" s="8" t="s">
        <v>1447</v>
      </c>
    </row>
    <row r="974" spans="1:6" s="24" customFormat="1" ht="15.5" x14ac:dyDescent="0.35">
      <c r="A974" s="592" t="s">
        <v>1437</v>
      </c>
      <c r="B974" s="592" t="s">
        <v>803</v>
      </c>
      <c r="C974" s="592" t="s">
        <v>1828</v>
      </c>
      <c r="D974" s="592" t="s">
        <v>1157</v>
      </c>
      <c r="F974" s="259"/>
    </row>
    <row r="975" spans="1:6" s="24" customFormat="1" ht="62" x14ac:dyDescent="0.35">
      <c r="A975" s="593" t="s">
        <v>957</v>
      </c>
      <c r="B975" s="594" t="s">
        <v>1829</v>
      </c>
      <c r="C975" s="595">
        <v>3.1337000000000002</v>
      </c>
      <c r="D975" s="261" t="s">
        <v>1830</v>
      </c>
      <c r="F975" s="259"/>
    </row>
    <row r="976" spans="1:6" s="24" customFormat="1" ht="62" x14ac:dyDescent="0.35">
      <c r="A976" s="593" t="s">
        <v>960</v>
      </c>
      <c r="B976" s="594" t="s">
        <v>1831</v>
      </c>
      <c r="C976" s="596">
        <v>3.8645</v>
      </c>
      <c r="D976" s="261" t="s">
        <v>1830</v>
      </c>
      <c r="F976" s="259"/>
    </row>
    <row r="977" spans="1:17" s="24" customFormat="1" ht="46.5" x14ac:dyDescent="0.35">
      <c r="A977" s="593" t="s">
        <v>965</v>
      </c>
      <c r="B977" s="594" t="s">
        <v>1832</v>
      </c>
      <c r="C977" s="595">
        <v>3.9821000000000002E-2</v>
      </c>
      <c r="D977" s="261" t="s">
        <v>1830</v>
      </c>
      <c r="F977" s="259"/>
    </row>
    <row r="979" spans="1:17" ht="15.5" x14ac:dyDescent="0.35">
      <c r="A979" s="26" t="s">
        <v>1448</v>
      </c>
    </row>
    <row r="980" spans="1:17" x14ac:dyDescent="0.35">
      <c r="A980" s="70" t="s">
        <v>1449</v>
      </c>
    </row>
    <row r="981" spans="1:17" x14ac:dyDescent="0.35">
      <c r="A981" s="70" t="s">
        <v>1450</v>
      </c>
    </row>
    <row r="983" spans="1:17" ht="23.5" x14ac:dyDescent="0.55000000000000004">
      <c r="A983" s="1651" t="s">
        <v>1451</v>
      </c>
      <c r="B983" s="1652"/>
      <c r="C983" s="1652"/>
      <c r="D983" s="1652"/>
      <c r="E983" s="1652"/>
      <c r="F983" s="1652"/>
      <c r="G983" s="1652"/>
      <c r="H983" s="1652"/>
      <c r="I983" s="1652"/>
      <c r="J983" s="1652"/>
      <c r="K983" s="1652"/>
      <c r="L983" s="1652"/>
      <c r="M983" s="1652"/>
      <c r="N983" s="1652"/>
      <c r="O983" s="1652"/>
      <c r="P983" s="1652"/>
      <c r="Q983" s="1653"/>
    </row>
    <row r="984" spans="1:17" ht="15" thickBot="1" x14ac:dyDescent="0.4"/>
    <row r="985" spans="1:17" ht="31.5" thickBot="1" x14ac:dyDescent="0.4">
      <c r="A985" s="52"/>
      <c r="B985" s="56" t="s">
        <v>1452</v>
      </c>
      <c r="C985" s="56" t="s">
        <v>1453</v>
      </c>
      <c r="D985" s="56" t="s">
        <v>1454</v>
      </c>
      <c r="F985" s="287" t="s">
        <v>974</v>
      </c>
    </row>
    <row r="986" spans="1:17" ht="15.5" x14ac:dyDescent="0.35">
      <c r="A986" s="53"/>
      <c r="B986" s="1743" t="s">
        <v>1455</v>
      </c>
      <c r="C986" s="1744"/>
      <c r="D986" s="1745"/>
      <c r="F986" s="288">
        <v>0.60299999999999998</v>
      </c>
    </row>
    <row r="987" spans="1:17" ht="15" thickBot="1" x14ac:dyDescent="0.4">
      <c r="A987" s="53"/>
      <c r="B987" s="1628"/>
      <c r="C987" s="1629"/>
      <c r="D987" s="1630"/>
    </row>
    <row r="988" spans="1:17" ht="58" x14ac:dyDescent="0.35">
      <c r="A988" s="53" t="s">
        <v>1456</v>
      </c>
      <c r="B988" s="1631" t="s">
        <v>1457</v>
      </c>
      <c r="C988" s="1631" t="s">
        <v>1458</v>
      </c>
      <c r="D988" s="145" t="s">
        <v>1459</v>
      </c>
    </row>
    <row r="989" spans="1:17" ht="29.5" thickBot="1" x14ac:dyDescent="0.4">
      <c r="A989" s="54"/>
      <c r="B989" s="1632"/>
      <c r="C989" s="1632"/>
      <c r="D989" s="146" t="s">
        <v>1460</v>
      </c>
    </row>
    <row r="990" spans="1:17" ht="15" thickBot="1" x14ac:dyDescent="0.4">
      <c r="A990" s="58"/>
      <c r="B990" s="146" t="s">
        <v>1461</v>
      </c>
      <c r="C990" s="146">
        <v>200</v>
      </c>
      <c r="D990" s="146"/>
    </row>
    <row r="991" spans="1:17" ht="15" thickBot="1" x14ac:dyDescent="0.4">
      <c r="A991" s="54"/>
      <c r="B991" s="146" t="s">
        <v>1462</v>
      </c>
      <c r="C991" s="146" t="s">
        <v>1463</v>
      </c>
      <c r="D991" s="146"/>
    </row>
    <row r="992" spans="1:17" x14ac:dyDescent="0.35">
      <c r="A992" s="54"/>
      <c r="B992" s="1633" t="s">
        <v>1464</v>
      </c>
      <c r="C992" s="1634"/>
      <c r="D992" s="1635"/>
    </row>
    <row r="993" spans="1:4" x14ac:dyDescent="0.35">
      <c r="A993" s="54"/>
      <c r="B993" s="1714" t="s">
        <v>1465</v>
      </c>
      <c r="C993" s="1715"/>
      <c r="D993" s="1716"/>
    </row>
    <row r="994" spans="1:4" x14ac:dyDescent="0.35">
      <c r="A994" s="54"/>
      <c r="B994" s="1722" t="s">
        <v>1466</v>
      </c>
      <c r="C994" s="1723"/>
      <c r="D994" s="1724"/>
    </row>
    <row r="995" spans="1:4" ht="15" thickBot="1" x14ac:dyDescent="0.4">
      <c r="A995" s="55"/>
      <c r="B995" s="1628"/>
      <c r="C995" s="1629"/>
      <c r="D995" s="1630"/>
    </row>
    <row r="997" spans="1:4" ht="15" thickBot="1" x14ac:dyDescent="0.4">
      <c r="A997" s="1717" t="s">
        <v>1467</v>
      </c>
      <c r="B997" s="57" t="s">
        <v>1452</v>
      </c>
      <c r="C997" s="57" t="s">
        <v>1453</v>
      </c>
      <c r="D997" s="57" t="s">
        <v>1454</v>
      </c>
    </row>
    <row r="998" spans="1:4" ht="15" thickBot="1" x14ac:dyDescent="0.4">
      <c r="A998" s="1717"/>
      <c r="B998" s="1719" t="s">
        <v>1468</v>
      </c>
      <c r="C998" s="1720"/>
      <c r="D998" s="1721"/>
    </row>
    <row r="999" spans="1:4" ht="58.5" thickBot="1" x14ac:dyDescent="0.4">
      <c r="A999" s="1717"/>
      <c r="B999" s="146" t="s">
        <v>1469</v>
      </c>
      <c r="C999" s="146" t="s">
        <v>1470</v>
      </c>
      <c r="D999" s="145" t="s">
        <v>1471</v>
      </c>
    </row>
    <row r="1000" spans="1:4" ht="58.5" thickBot="1" x14ac:dyDescent="0.4">
      <c r="A1000" s="1717"/>
      <c r="B1000" s="146" t="s">
        <v>1472</v>
      </c>
      <c r="C1000" s="146" t="s">
        <v>1473</v>
      </c>
      <c r="D1000" s="146" t="s">
        <v>1474</v>
      </c>
    </row>
    <row r="1001" spans="1:4" x14ac:dyDescent="0.35">
      <c r="A1001" s="1717"/>
      <c r="B1001" s="1633" t="s">
        <v>1464</v>
      </c>
      <c r="C1001" s="1634"/>
      <c r="D1001" s="1635"/>
    </row>
    <row r="1002" spans="1:4" x14ac:dyDescent="0.35">
      <c r="A1002" s="1717"/>
      <c r="B1002" s="1714" t="s">
        <v>1475</v>
      </c>
      <c r="C1002" s="1715"/>
      <c r="D1002" s="1716"/>
    </row>
    <row r="1003" spans="1:4" ht="15" thickBot="1" x14ac:dyDescent="0.4">
      <c r="A1003" s="1718"/>
      <c r="B1003" s="1628"/>
      <c r="C1003" s="1629"/>
      <c r="D1003" s="1630"/>
    </row>
    <row r="1005" spans="1:4" ht="15" thickBot="1" x14ac:dyDescent="0.4">
      <c r="A1005" s="272" t="s">
        <v>1257</v>
      </c>
    </row>
    <row r="1006" spans="1:4" x14ac:dyDescent="0.35">
      <c r="A1006" s="1709" t="s">
        <v>1258</v>
      </c>
      <c r="B1006" s="273" t="s">
        <v>1060</v>
      </c>
    </row>
    <row r="1007" spans="1:4" ht="15" thickBot="1" x14ac:dyDescent="0.4">
      <c r="A1007" s="1710"/>
      <c r="B1007" s="274" t="s">
        <v>1259</v>
      </c>
    </row>
    <row r="1008" spans="1:4" ht="15" thickBot="1" x14ac:dyDescent="0.4">
      <c r="A1008" s="282" t="s">
        <v>581</v>
      </c>
      <c r="B1008" s="268">
        <v>0.79</v>
      </c>
    </row>
    <row r="1009" spans="1:17" ht="15" thickBot="1" x14ac:dyDescent="0.4">
      <c r="A1009" s="282" t="s">
        <v>582</v>
      </c>
      <c r="B1009" s="268">
        <v>0.96</v>
      </c>
    </row>
    <row r="1010" spans="1:17" ht="15" thickBot="1" x14ac:dyDescent="0.4">
      <c r="A1010" s="282" t="s">
        <v>583</v>
      </c>
      <c r="B1010" s="268">
        <v>0.8</v>
      </c>
    </row>
    <row r="1011" spans="1:17" ht="15" thickBot="1" x14ac:dyDescent="0.4">
      <c r="A1011" s="282" t="s">
        <v>584</v>
      </c>
      <c r="B1011" s="268">
        <v>0.35</v>
      </c>
    </row>
    <row r="1012" spans="1:17" ht="20.5" thickBot="1" x14ac:dyDescent="0.4">
      <c r="A1012" s="282" t="s">
        <v>585</v>
      </c>
      <c r="B1012" s="268">
        <v>0.68</v>
      </c>
    </row>
    <row r="1013" spans="1:17" ht="20.5" thickBot="1" x14ac:dyDescent="0.4">
      <c r="A1013" s="282" t="s">
        <v>586</v>
      </c>
      <c r="B1013" s="268">
        <v>0.57999999999999996</v>
      </c>
    </row>
    <row r="1014" spans="1:17" ht="20.5" thickBot="1" x14ac:dyDescent="0.4">
      <c r="A1014" s="282" t="s">
        <v>587</v>
      </c>
      <c r="B1014" s="268">
        <v>0.54</v>
      </c>
    </row>
    <row r="1015" spans="1:17" ht="15" thickBot="1" x14ac:dyDescent="0.4">
      <c r="A1015" s="282" t="s">
        <v>588</v>
      </c>
      <c r="B1015" s="268">
        <v>0.16</v>
      </c>
    </row>
    <row r="1016" spans="1:17" ht="15" thickBot="1" x14ac:dyDescent="0.4">
      <c r="A1016" s="282" t="s">
        <v>589</v>
      </c>
      <c r="B1016" s="268">
        <v>0.56999999999999995</v>
      </c>
      <c r="D1016" s="5" t="s">
        <v>1476</v>
      </c>
    </row>
    <row r="1017" spans="1:17" ht="15.5" x14ac:dyDescent="0.35">
      <c r="A1017" s="250" t="s">
        <v>1477</v>
      </c>
      <c r="D1017">
        <f>AVERAGE(B1008:B1016)</f>
        <v>0.60333333333333339</v>
      </c>
    </row>
    <row r="1018" spans="1:17" x14ac:dyDescent="0.35">
      <c r="A1018" s="245" t="s">
        <v>1078</v>
      </c>
      <c r="B1018" s="275"/>
      <c r="C1018" s="275"/>
    </row>
    <row r="1020" spans="1:17" ht="23.5" x14ac:dyDescent="0.55000000000000004">
      <c r="A1020" s="1651" t="s">
        <v>1478</v>
      </c>
      <c r="B1020" s="1652"/>
      <c r="C1020" s="1652"/>
      <c r="D1020" s="1652"/>
      <c r="E1020" s="1652"/>
      <c r="F1020" s="1652"/>
      <c r="G1020" s="1652"/>
      <c r="H1020" s="1652"/>
      <c r="I1020" s="1652"/>
      <c r="J1020" s="1652"/>
      <c r="K1020" s="1652"/>
      <c r="L1020" s="1652"/>
      <c r="M1020" s="1652"/>
      <c r="N1020" s="1652"/>
      <c r="O1020" s="1652"/>
      <c r="P1020" s="1652"/>
      <c r="Q1020" s="1653"/>
    </row>
    <row r="1023" spans="1:17" x14ac:dyDescent="0.35">
      <c r="A1023" s="10" t="s">
        <v>1479</v>
      </c>
    </row>
    <row r="1040" spans="1:17" ht="23.5" x14ac:dyDescent="0.55000000000000004">
      <c r="A1040" s="1651" t="s">
        <v>1480</v>
      </c>
      <c r="B1040" s="1652"/>
      <c r="C1040" s="1652"/>
      <c r="D1040" s="1652"/>
      <c r="E1040" s="1652"/>
      <c r="F1040" s="1652"/>
      <c r="G1040" s="1652"/>
      <c r="H1040" s="1652"/>
      <c r="I1040" s="1652"/>
      <c r="J1040" s="1652"/>
      <c r="K1040" s="1652"/>
      <c r="L1040" s="1652"/>
      <c r="M1040" s="1652"/>
      <c r="N1040" s="1652"/>
      <c r="O1040" s="1652"/>
      <c r="P1040" s="1652"/>
      <c r="Q1040" s="1653"/>
    </row>
    <row r="1041" spans="1:17" x14ac:dyDescent="0.35">
      <c r="A1041" s="6" t="s">
        <v>1117</v>
      </c>
    </row>
    <row r="1043" spans="1:17" ht="15.5" x14ac:dyDescent="0.35">
      <c r="A1043" s="12" t="s">
        <v>1481</v>
      </c>
      <c r="E1043" s="9"/>
    </row>
    <row r="1044" spans="1:17" ht="15.5" x14ac:dyDescent="0.35">
      <c r="A1044" s="12" t="s">
        <v>1482</v>
      </c>
      <c r="E1044" s="9"/>
    </row>
    <row r="1045" spans="1:17" x14ac:dyDescent="0.35">
      <c r="A1045" s="2" t="s">
        <v>1715</v>
      </c>
      <c r="E1045" s="9"/>
    </row>
    <row r="1048" spans="1:17" ht="23.5" x14ac:dyDescent="0.55000000000000004">
      <c r="A1048" s="1651" t="s">
        <v>1000</v>
      </c>
      <c r="B1048" s="1652"/>
      <c r="C1048" s="1652"/>
      <c r="D1048" s="1652"/>
      <c r="E1048" s="1652"/>
      <c r="F1048" s="1652"/>
      <c r="G1048" s="1652"/>
      <c r="H1048" s="1652"/>
      <c r="I1048" s="1652"/>
      <c r="J1048" s="1652"/>
      <c r="K1048" s="1652"/>
      <c r="L1048" s="1652"/>
      <c r="M1048" s="1652"/>
      <c r="N1048" s="1652"/>
      <c r="O1048" s="1652"/>
      <c r="P1048" s="1652"/>
      <c r="Q1048" s="1653"/>
    </row>
    <row r="1049" spans="1:17" x14ac:dyDescent="0.35">
      <c r="A1049" s="6" t="s">
        <v>1117</v>
      </c>
      <c r="B1049" s="3"/>
      <c r="C1049" s="3"/>
      <c r="D1049" s="3"/>
      <c r="F1049" s="1"/>
      <c r="G1049" s="3"/>
    </row>
    <row r="1050" spans="1:17" x14ac:dyDescent="0.35">
      <c r="A1050" s="1704" t="s">
        <v>1483</v>
      </c>
      <c r="B1050" s="1704"/>
      <c r="C1050" s="1704"/>
      <c r="D1050" s="1704"/>
      <c r="E1050" s="1704"/>
      <c r="F1050" s="1704"/>
      <c r="G1050" s="1704"/>
    </row>
    <row r="1051" spans="1:17" x14ac:dyDescent="0.35">
      <c r="A1051" s="1704" t="s">
        <v>1484</v>
      </c>
      <c r="B1051" s="1704"/>
      <c r="C1051" s="1704"/>
      <c r="D1051" s="1704"/>
      <c r="E1051" s="1704"/>
      <c r="F1051" s="1704"/>
      <c r="G1051" s="1704"/>
    </row>
    <row r="1053" spans="1:17" x14ac:dyDescent="0.35">
      <c r="A1053" s="1705" t="s">
        <v>1485</v>
      </c>
      <c r="B1053" s="1705"/>
      <c r="C1053" s="1705"/>
      <c r="D1053" s="1705"/>
      <c r="E1053" s="1705"/>
      <c r="F1053" s="1705"/>
    </row>
    <row r="1054" spans="1:17" x14ac:dyDescent="0.35">
      <c r="A1054" s="13" t="s">
        <v>1486</v>
      </c>
      <c r="B1054" s="14"/>
      <c r="C1054" s="15"/>
      <c r="D1054" s="15"/>
      <c r="E1054" s="15"/>
      <c r="F1054" s="15"/>
    </row>
    <row r="1055" spans="1:17" x14ac:dyDescent="0.35">
      <c r="A1055" s="13" t="s">
        <v>1487</v>
      </c>
      <c r="B1055" s="14"/>
      <c r="C1055" s="15"/>
      <c r="D1055" s="15"/>
      <c r="E1055" s="15"/>
      <c r="F1055" s="15"/>
    </row>
    <row r="1056" spans="1:17" x14ac:dyDescent="0.35">
      <c r="A1056" s="13" t="s">
        <v>1488</v>
      </c>
      <c r="B1056" s="14"/>
      <c r="C1056" s="15"/>
      <c r="D1056" s="15"/>
      <c r="E1056" s="15"/>
      <c r="F1056" s="15"/>
    </row>
    <row r="1057" spans="1:10" x14ac:dyDescent="0.35">
      <c r="A1057" s="13" t="s">
        <v>1489</v>
      </c>
      <c r="B1057" s="14"/>
      <c r="C1057" s="15"/>
      <c r="D1057" s="15"/>
      <c r="E1057" s="15"/>
      <c r="F1057" s="15"/>
    </row>
    <row r="1058" spans="1:10" x14ac:dyDescent="0.35">
      <c r="A1058" t="s">
        <v>1490</v>
      </c>
      <c r="B1058" s="1"/>
      <c r="C1058" s="3"/>
      <c r="D1058" s="3"/>
      <c r="E1058" s="3"/>
      <c r="F1058" s="3"/>
    </row>
    <row r="1059" spans="1:10" x14ac:dyDescent="0.35">
      <c r="A1059" t="s">
        <v>1491</v>
      </c>
      <c r="B1059" s="1"/>
      <c r="C1059" s="3"/>
      <c r="D1059" s="3"/>
      <c r="E1059" s="3"/>
      <c r="F1059" s="3"/>
    </row>
    <row r="1060" spans="1:10" x14ac:dyDescent="0.35">
      <c r="A1060" t="s">
        <v>1492</v>
      </c>
      <c r="B1060" s="1"/>
      <c r="C1060" s="3"/>
      <c r="D1060" s="3"/>
      <c r="E1060" s="3"/>
      <c r="F1060" s="3"/>
    </row>
    <row r="1061" spans="1:10" x14ac:dyDescent="0.35">
      <c r="A1061" s="16" t="s">
        <v>1493</v>
      </c>
      <c r="B1061" s="17"/>
      <c r="C1061" s="18"/>
      <c r="D1061" s="3"/>
      <c r="E1061" s="3"/>
      <c r="F1061" s="3"/>
    </row>
    <row r="1062" spans="1:10" x14ac:dyDescent="0.35">
      <c r="A1062" t="s">
        <v>1494</v>
      </c>
      <c r="B1062" s="1"/>
      <c r="C1062" s="19">
        <v>0.106</v>
      </c>
      <c r="D1062" s="3"/>
      <c r="E1062" s="3"/>
      <c r="F1062" s="3"/>
    </row>
    <row r="1063" spans="1:10" x14ac:dyDescent="0.35">
      <c r="A1063" t="s">
        <v>1495</v>
      </c>
      <c r="B1063" s="1"/>
      <c r="C1063" s="19">
        <v>5.1999999999999998E-2</v>
      </c>
      <c r="D1063" s="3"/>
      <c r="E1063" s="3"/>
      <c r="F1063" s="3"/>
    </row>
    <row r="1064" spans="1:10" x14ac:dyDescent="0.35">
      <c r="A1064" t="s">
        <v>1496</v>
      </c>
      <c r="B1064" s="1"/>
      <c r="C1064" s="19">
        <v>2.3E-2</v>
      </c>
      <c r="D1064" s="3"/>
      <c r="E1064" s="3"/>
      <c r="F1064" s="3"/>
    </row>
    <row r="1065" spans="1:10" x14ac:dyDescent="0.35">
      <c r="A1065" t="s">
        <v>1497</v>
      </c>
      <c r="B1065" s="1"/>
      <c r="C1065" s="19">
        <v>0.191</v>
      </c>
      <c r="D1065" s="3"/>
      <c r="E1065" s="3"/>
      <c r="F1065" s="3"/>
    </row>
    <row r="1066" spans="1:10" x14ac:dyDescent="0.35">
      <c r="A1066" t="s">
        <v>1498</v>
      </c>
      <c r="B1066" s="1"/>
      <c r="C1066" s="19">
        <v>0.128</v>
      </c>
      <c r="D1066" s="3"/>
      <c r="E1066" s="3"/>
      <c r="F1066" s="3"/>
    </row>
    <row r="1067" spans="1:10" x14ac:dyDescent="0.35">
      <c r="A1067" t="s">
        <v>1499</v>
      </c>
      <c r="B1067" s="1"/>
      <c r="C1067" s="20">
        <v>0.5</v>
      </c>
      <c r="D1067" s="3"/>
      <c r="E1067" s="3"/>
      <c r="F1067" s="3"/>
    </row>
    <row r="1069" spans="1:10" ht="18.5" x14ac:dyDescent="0.35">
      <c r="A1069" s="21" t="s">
        <v>1500</v>
      </c>
      <c r="B1069" s="3"/>
      <c r="C1069" s="3"/>
      <c r="D1069" s="3"/>
      <c r="E1069" s="3"/>
      <c r="G1069" s="1"/>
      <c r="H1069" s="20"/>
      <c r="I1069" s="3"/>
      <c r="J1069" s="3"/>
    </row>
    <row r="1070" spans="1:10" x14ac:dyDescent="0.35">
      <c r="A1070" t="s">
        <v>1491</v>
      </c>
      <c r="B1070" s="3"/>
      <c r="C1070" s="3"/>
      <c r="D1070" s="3"/>
      <c r="E1070" s="3"/>
      <c r="G1070" s="1"/>
      <c r="H1070" s="20"/>
      <c r="I1070" s="3"/>
      <c r="J1070" s="3"/>
    </row>
    <row r="1071" spans="1:10" x14ac:dyDescent="0.35">
      <c r="A1071" t="s">
        <v>1492</v>
      </c>
      <c r="B1071" s="3"/>
      <c r="C1071" s="3"/>
      <c r="D1071" s="3"/>
      <c r="E1071" s="3"/>
      <c r="G1071" s="1"/>
      <c r="H1071" s="20"/>
      <c r="I1071" s="3"/>
      <c r="J1071" s="3"/>
    </row>
    <row r="1072" spans="1:10" x14ac:dyDescent="0.35">
      <c r="A1072" s="1703" t="s">
        <v>1501</v>
      </c>
      <c r="B1072" s="1703"/>
      <c r="C1072" s="1703"/>
      <c r="D1072" s="1703"/>
      <c r="E1072" s="1703"/>
      <c r="F1072" s="1703"/>
      <c r="G1072" s="1703"/>
      <c r="H1072" s="1703"/>
      <c r="I1072" s="1703"/>
      <c r="J1072" s="3"/>
    </row>
    <row r="1073" spans="1:17" x14ac:dyDescent="0.35">
      <c r="A1073" s="1703" t="s">
        <v>1502</v>
      </c>
      <c r="B1073" s="1703"/>
      <c r="C1073" s="1703"/>
      <c r="D1073" s="1703"/>
      <c r="E1073" s="1703"/>
      <c r="F1073" s="1703"/>
      <c r="G1073" s="1703"/>
      <c r="H1073" s="3"/>
      <c r="I1073" s="3"/>
      <c r="J1073" s="3"/>
    </row>
    <row r="1074" spans="1:17" x14ac:dyDescent="0.35">
      <c r="A1074" s="1703" t="s">
        <v>1503</v>
      </c>
      <c r="B1074" s="1703"/>
      <c r="C1074" s="1703"/>
      <c r="D1074" s="1703"/>
      <c r="E1074" s="1703"/>
      <c r="F1074" s="1703"/>
      <c r="G1074" s="1703"/>
      <c r="H1074" s="1703"/>
      <c r="I1074" s="3"/>
      <c r="J1074" s="3"/>
    </row>
    <row r="1075" spans="1:17" x14ac:dyDescent="0.35">
      <c r="A1075" s="1703" t="s">
        <v>1504</v>
      </c>
      <c r="B1075" s="1703"/>
      <c r="C1075" s="1703"/>
      <c r="D1075" s="1703"/>
      <c r="E1075" s="1703"/>
      <c r="F1075" s="1703"/>
      <c r="G1075" s="1703"/>
      <c r="H1075" s="1703"/>
      <c r="I1075" s="3"/>
      <c r="J1075" s="3"/>
    </row>
    <row r="1076" spans="1:17" x14ac:dyDescent="0.35">
      <c r="A1076" s="1703" t="s">
        <v>1505</v>
      </c>
      <c r="B1076" s="1703"/>
      <c r="C1076" s="1703"/>
      <c r="D1076" s="1703"/>
      <c r="E1076" s="1703"/>
      <c r="F1076" s="1703"/>
      <c r="G1076" s="1703"/>
      <c r="H1076" s="1703"/>
      <c r="I1076" s="1703"/>
      <c r="J1076" s="1703"/>
    </row>
    <row r="1077" spans="1:17" x14ac:dyDescent="0.35">
      <c r="A1077" s="1703" t="s">
        <v>1506</v>
      </c>
      <c r="B1077" s="1703"/>
      <c r="C1077" s="1703"/>
      <c r="D1077" s="1703"/>
      <c r="E1077" s="1703"/>
      <c r="F1077" s="1703"/>
      <c r="G1077" s="1703"/>
      <c r="H1077" s="1703"/>
      <c r="I1077" s="1703"/>
      <c r="J1077" s="3"/>
    </row>
    <row r="1078" spans="1:17" x14ac:dyDescent="0.35">
      <c r="A1078" s="1703" t="s">
        <v>1507</v>
      </c>
      <c r="B1078" s="1703"/>
      <c r="C1078" s="1703"/>
      <c r="D1078" s="1703"/>
      <c r="E1078" s="1703"/>
      <c r="F1078" s="1703"/>
      <c r="G1078" s="1703"/>
      <c r="H1078" s="1703"/>
      <c r="I1078" s="3"/>
      <c r="J1078" s="3"/>
    </row>
    <row r="1079" spans="1:17" x14ac:dyDescent="0.35">
      <c r="A1079" s="1703" t="s">
        <v>1508</v>
      </c>
      <c r="B1079" s="1703"/>
      <c r="C1079" s="1703"/>
      <c r="D1079" s="1703"/>
      <c r="E1079" s="1703"/>
      <c r="F1079" s="1703"/>
      <c r="G1079" s="1703"/>
      <c r="H1079" s="1703"/>
      <c r="I1079" s="3"/>
      <c r="J1079" s="3"/>
    </row>
    <row r="1080" spans="1:17" x14ac:dyDescent="0.35">
      <c r="A1080" s="1703" t="s">
        <v>1509</v>
      </c>
      <c r="B1080" s="1703"/>
      <c r="C1080" s="1703"/>
      <c r="D1080" s="1703"/>
      <c r="E1080" s="1703"/>
      <c r="F1080" s="1703"/>
      <c r="G1080" s="1703"/>
      <c r="H1080" s="1703"/>
      <c r="I1080" s="3"/>
      <c r="J1080" s="3"/>
    </row>
    <row r="1083" spans="1:17" ht="23.5" x14ac:dyDescent="0.55000000000000004">
      <c r="A1083" s="1651" t="s">
        <v>175</v>
      </c>
      <c r="B1083" s="1652"/>
      <c r="C1083" s="1652"/>
      <c r="D1083" s="1652"/>
      <c r="E1083" s="1652"/>
      <c r="F1083" s="1652"/>
      <c r="G1083" s="1652"/>
      <c r="H1083" s="1652"/>
      <c r="I1083" s="1652"/>
      <c r="J1083" s="1652"/>
      <c r="K1083" s="1652"/>
      <c r="L1083" s="1652"/>
      <c r="M1083" s="1652"/>
      <c r="N1083" s="1652"/>
      <c r="O1083" s="1652"/>
      <c r="P1083" s="1652"/>
      <c r="Q1083" s="1653"/>
    </row>
    <row r="1084" spans="1:17" x14ac:dyDescent="0.35">
      <c r="A1084" s="1692" t="s">
        <v>1510</v>
      </c>
      <c r="B1084" s="1693"/>
      <c r="C1084" s="1693"/>
      <c r="D1084" s="1693"/>
      <c r="E1084" s="1693"/>
      <c r="F1084" s="1693"/>
    </row>
    <row r="1085" spans="1:17" x14ac:dyDescent="0.35">
      <c r="A1085" s="5" t="s">
        <v>1511</v>
      </c>
    </row>
    <row r="1086" spans="1:17" x14ac:dyDescent="0.35">
      <c r="A1086" t="s">
        <v>1512</v>
      </c>
    </row>
    <row r="1087" spans="1:17" x14ac:dyDescent="0.35">
      <c r="A1087" t="s">
        <v>1513</v>
      </c>
    </row>
    <row r="1088" spans="1:17" x14ac:dyDescent="0.35">
      <c r="A1088" t="s">
        <v>1514</v>
      </c>
    </row>
    <row r="1089" spans="1:25" x14ac:dyDescent="0.35">
      <c r="A1089" t="s">
        <v>1515</v>
      </c>
    </row>
    <row r="1090" spans="1:25" x14ac:dyDescent="0.35">
      <c r="A1090" t="s">
        <v>1516</v>
      </c>
    </row>
    <row r="1091" spans="1:25" x14ac:dyDescent="0.35">
      <c r="A1091" t="s">
        <v>1517</v>
      </c>
    </row>
    <row r="1093" spans="1:25" x14ac:dyDescent="0.35">
      <c r="A1093" s="5" t="s">
        <v>1518</v>
      </c>
    </row>
    <row r="1094" spans="1:25" x14ac:dyDescent="0.35">
      <c r="A1094" t="s">
        <v>1519</v>
      </c>
    </row>
    <row r="1095" spans="1:25" x14ac:dyDescent="0.35">
      <c r="A1095" t="s">
        <v>1520</v>
      </c>
    </row>
    <row r="1096" spans="1:25" x14ac:dyDescent="0.35">
      <c r="A1096" t="s">
        <v>1521</v>
      </c>
    </row>
    <row r="1098" spans="1:25" x14ac:dyDescent="0.35">
      <c r="A1098" t="s">
        <v>1522</v>
      </c>
    </row>
    <row r="1099" spans="1:25" x14ac:dyDescent="0.35">
      <c r="A1099" s="10"/>
    </row>
    <row r="1102" spans="1:25" x14ac:dyDescent="0.35">
      <c r="A1102" s="5" t="s">
        <v>1523</v>
      </c>
    </row>
    <row r="1103" spans="1:25" x14ac:dyDescent="0.35">
      <c r="A1103" s="10" t="s">
        <v>1524</v>
      </c>
    </row>
    <row r="1104" spans="1:25" x14ac:dyDescent="0.35">
      <c r="R1104" s="5"/>
      <c r="S1104" s="5"/>
      <c r="T1104" s="5"/>
      <c r="U1104" s="5"/>
      <c r="V1104" s="5"/>
      <c r="W1104" s="5"/>
      <c r="X1104" s="5"/>
      <c r="Y1104" s="5"/>
    </row>
    <row r="1105" spans="1:21" ht="23.5" x14ac:dyDescent="0.55000000000000004">
      <c r="A1105" s="1694" t="s">
        <v>1028</v>
      </c>
      <c r="B1105" s="1694"/>
      <c r="C1105" s="1694"/>
      <c r="D1105" s="1694"/>
      <c r="E1105" s="1694"/>
      <c r="F1105" s="1694"/>
      <c r="G1105" s="1694"/>
      <c r="H1105" s="1694"/>
      <c r="I1105" s="1694"/>
      <c r="J1105" s="1694"/>
      <c r="K1105" s="1694"/>
      <c r="L1105" s="1694"/>
      <c r="M1105" s="1694"/>
      <c r="N1105" s="5"/>
      <c r="O1105" s="5"/>
      <c r="P1105" s="5"/>
      <c r="Q1105" s="5"/>
      <c r="R1105" s="1695" t="s">
        <v>1039</v>
      </c>
      <c r="S1105" s="1696"/>
      <c r="T1105" s="1697"/>
    </row>
    <row r="1106" spans="1:21" ht="87" x14ac:dyDescent="0.35">
      <c r="A1106" s="71" t="s">
        <v>1029</v>
      </c>
      <c r="B1106" s="71" t="s">
        <v>1030</v>
      </c>
      <c r="C1106" s="71" t="s">
        <v>1031</v>
      </c>
      <c r="D1106" s="71" t="s">
        <v>1020</v>
      </c>
      <c r="E1106" s="71" t="s">
        <v>1021</v>
      </c>
      <c r="F1106" s="71" t="s">
        <v>1032</v>
      </c>
      <c r="G1106" s="71" t="s">
        <v>1033</v>
      </c>
      <c r="H1106" s="71" t="s">
        <v>1024</v>
      </c>
      <c r="I1106" s="71" t="s">
        <v>1034</v>
      </c>
      <c r="J1106" s="71" t="s">
        <v>1035</v>
      </c>
      <c r="K1106" s="72" t="s">
        <v>1036</v>
      </c>
      <c r="L1106" s="73" t="s">
        <v>1037</v>
      </c>
      <c r="M1106" s="71" t="s">
        <v>1038</v>
      </c>
      <c r="R1106" s="1698"/>
      <c r="S1106" s="1699"/>
      <c r="T1106" s="85" t="s">
        <v>1041</v>
      </c>
    </row>
    <row r="1107" spans="1:21" x14ac:dyDescent="0.35">
      <c r="A1107" s="39" t="s">
        <v>1040</v>
      </c>
      <c r="B1107" s="74">
        <v>0</v>
      </c>
      <c r="C1107" s="75">
        <v>1</v>
      </c>
      <c r="D1107" s="76">
        <v>1</v>
      </c>
      <c r="E1107" s="77">
        <v>0.5</v>
      </c>
      <c r="F1107" s="78">
        <v>0.5</v>
      </c>
      <c r="G1107" s="79">
        <f>B1107*C1107</f>
        <v>0</v>
      </c>
      <c r="H1107" s="80">
        <f>G1107*0.25</f>
        <v>0</v>
      </c>
      <c r="I1107" s="81">
        <f>H1107*3.67</f>
        <v>0</v>
      </c>
      <c r="J1107" s="81">
        <f>I1107*0.907</f>
        <v>0</v>
      </c>
      <c r="K1107" s="82"/>
      <c r="L1107" s="83" t="e">
        <f>(VLOOKUP(E1107,$A$175:$C$177, 2, TRUE)-1)</f>
        <v>#N/A</v>
      </c>
      <c r="M1107" s="84" t="e">
        <f>(VLOOKUP(E1107,#REF!, 2,TRUE))*J1107*D1107</f>
        <v>#REF!</v>
      </c>
      <c r="R1107" s="1687"/>
      <c r="S1107" s="1688"/>
      <c r="T1107" s="85" t="s">
        <v>1043</v>
      </c>
    </row>
    <row r="1108" spans="1:21" x14ac:dyDescent="0.35">
      <c r="A1108" s="39" t="s">
        <v>1042</v>
      </c>
      <c r="B1108" s="74">
        <v>14000</v>
      </c>
      <c r="C1108" s="75">
        <v>2</v>
      </c>
      <c r="D1108" s="76">
        <v>1</v>
      </c>
      <c r="E1108" s="77">
        <v>0.5</v>
      </c>
      <c r="F1108" s="78">
        <v>0.5</v>
      </c>
      <c r="G1108" s="79">
        <f>B1108*C1108</f>
        <v>28000</v>
      </c>
      <c r="H1108" s="80">
        <f>G1108*0.25</f>
        <v>7000</v>
      </c>
      <c r="I1108" s="81">
        <f>H1108*3.67</f>
        <v>25690</v>
      </c>
      <c r="J1108" s="81">
        <f t="shared" ref="J1108:J1111" si="2">I1108*0.907</f>
        <v>23300.83</v>
      </c>
      <c r="K1108" s="82"/>
      <c r="L1108" s="83" t="e">
        <f>(VLOOKUP(E1108,#REF!, 2, TRUE)-1)</f>
        <v>#REF!</v>
      </c>
      <c r="M1108" s="84" t="e">
        <f>(VLOOKUP(E1108,#REF!, 2,TRUE))*J1108*D1108</f>
        <v>#REF!</v>
      </c>
      <c r="O1108" s="86">
        <f>G1108*37.5</f>
        <v>1050000</v>
      </c>
    </row>
    <row r="1109" spans="1:21" x14ac:dyDescent="0.35">
      <c r="A1109" s="39" t="s">
        <v>1044</v>
      </c>
      <c r="B1109" s="74">
        <v>0</v>
      </c>
      <c r="C1109" s="75">
        <v>3.5</v>
      </c>
      <c r="D1109" s="76">
        <v>1</v>
      </c>
      <c r="E1109" s="77">
        <v>0.5</v>
      </c>
      <c r="F1109" s="78">
        <v>0.5</v>
      </c>
      <c r="G1109" s="79">
        <f>B1109*C1109</f>
        <v>0</v>
      </c>
      <c r="H1109" s="80">
        <f>G1109*0.25</f>
        <v>0</v>
      </c>
      <c r="I1109" s="81">
        <f>H1109*3.67</f>
        <v>0</v>
      </c>
      <c r="J1109" s="81">
        <f t="shared" si="2"/>
        <v>0</v>
      </c>
      <c r="K1109" s="82"/>
      <c r="L1109" s="83" t="e">
        <f>(VLOOKUP(E1109,#REF!, 2, TRUE)-1)</f>
        <v>#REF!</v>
      </c>
      <c r="M1109" s="84" t="e">
        <f>(VLOOKUP(E1109,#REF!, 2,TRUE))*J1109*D1109</f>
        <v>#REF!</v>
      </c>
      <c r="O1109" s="86">
        <f t="shared" ref="O1109" si="3">G1109*26*2</f>
        <v>0</v>
      </c>
      <c r="R1109" s="1689" t="s">
        <v>1046</v>
      </c>
      <c r="S1109" s="1690"/>
      <c r="T1109" s="1691"/>
    </row>
    <row r="1110" spans="1:21" x14ac:dyDescent="0.35">
      <c r="A1110" s="39" t="s">
        <v>1045</v>
      </c>
      <c r="B1110" s="74">
        <v>8000</v>
      </c>
      <c r="C1110" s="75">
        <v>5</v>
      </c>
      <c r="D1110" s="76">
        <v>1</v>
      </c>
      <c r="E1110" s="77">
        <v>0.5</v>
      </c>
      <c r="F1110" s="78">
        <v>0.5</v>
      </c>
      <c r="G1110" s="79">
        <f>B1110*C1110</f>
        <v>40000</v>
      </c>
      <c r="H1110" s="80">
        <f>G1110*0.25</f>
        <v>10000</v>
      </c>
      <c r="I1110" s="81">
        <f>H1110*3.67</f>
        <v>36700</v>
      </c>
      <c r="J1110" s="81">
        <f t="shared" si="2"/>
        <v>33286.9</v>
      </c>
      <c r="K1110" s="82"/>
      <c r="L1110" s="83" t="e">
        <f>(VLOOKUP(E1110,#REF!, 2, TRUE)-1)</f>
        <v>#REF!</v>
      </c>
      <c r="M1110" s="84" t="e">
        <f>(VLOOKUP(E1110,#REF!, 2,TRUE))*J1110*D1110</f>
        <v>#REF!</v>
      </c>
      <c r="O1110" s="86">
        <f>G1110*26*5</f>
        <v>5200000</v>
      </c>
      <c r="R1110" s="85" t="s">
        <v>1048</v>
      </c>
      <c r="S1110" s="85">
        <v>0</v>
      </c>
      <c r="T1110" s="85">
        <v>1</v>
      </c>
      <c r="U1110" t="s">
        <v>1049</v>
      </c>
    </row>
    <row r="1111" spans="1:21" x14ac:dyDescent="0.35">
      <c r="A1111" s="39" t="s">
        <v>1047</v>
      </c>
      <c r="B1111" s="74">
        <v>0</v>
      </c>
      <c r="C1111" s="75">
        <v>10</v>
      </c>
      <c r="D1111" s="76">
        <v>1</v>
      </c>
      <c r="E1111" s="77">
        <v>0.5</v>
      </c>
      <c r="F1111" s="78">
        <v>0.5</v>
      </c>
      <c r="G1111" s="79">
        <f>B1111*C1111</f>
        <v>0</v>
      </c>
      <c r="H1111" s="80">
        <f>G1111*0.25</f>
        <v>0</v>
      </c>
      <c r="I1111" s="81">
        <f>H1111*3.67</f>
        <v>0</v>
      </c>
      <c r="J1111" s="81">
        <f t="shared" si="2"/>
        <v>0</v>
      </c>
      <c r="K1111" s="82"/>
      <c r="L1111" s="83" t="e">
        <f>(VLOOKUP(E1111,#REF!, 2, TRUE)-1)</f>
        <v>#REF!</v>
      </c>
      <c r="M1111" s="84" t="e">
        <f>(VLOOKUP(E1111,#REF!, 2,TRUE))*J1111*D1111</f>
        <v>#REF!</v>
      </c>
      <c r="R1111" s="85" t="s">
        <v>1051</v>
      </c>
      <c r="S1111" s="85">
        <v>0.5</v>
      </c>
      <c r="T1111" s="85">
        <v>0.75</v>
      </c>
      <c r="U1111" t="s">
        <v>1052</v>
      </c>
    </row>
    <row r="1112" spans="1:21" x14ac:dyDescent="0.35">
      <c r="A1112" s="87"/>
      <c r="B1112" s="87"/>
      <c r="C1112" s="87"/>
      <c r="D1112" s="87"/>
      <c r="E1112" s="87"/>
      <c r="F1112" s="87"/>
      <c r="G1112" s="87"/>
      <c r="H1112" s="87"/>
      <c r="I1112" s="88"/>
      <c r="J1112" s="88"/>
      <c r="K1112" s="88"/>
      <c r="L1112" s="89"/>
      <c r="M1112" s="90" t="e">
        <f>SUM(M1107:M1111)</f>
        <v>#REF!</v>
      </c>
      <c r="N1112" s="48" t="s">
        <v>1050</v>
      </c>
      <c r="R1112" s="85" t="s">
        <v>1053</v>
      </c>
      <c r="S1112" s="85">
        <v>1</v>
      </c>
      <c r="T1112" s="85">
        <v>0.5</v>
      </c>
      <c r="U1112" t="s">
        <v>1054</v>
      </c>
    </row>
    <row r="1113" spans="1:21" s="24" customFormat="1" ht="15.5" x14ac:dyDescent="0.35">
      <c r="A1113"/>
      <c r="B1113"/>
      <c r="C1113"/>
      <c r="D1113"/>
      <c r="E1113"/>
      <c r="F1113"/>
      <c r="G1113"/>
      <c r="H1113"/>
      <c r="I1113" s="86"/>
      <c r="J1113" s="86"/>
      <c r="K1113" s="86"/>
      <c r="L1113" s="86"/>
      <c r="M1113" s="86"/>
      <c r="N1113"/>
      <c r="O1113"/>
      <c r="P1113"/>
      <c r="Q1113"/>
    </row>
    <row r="1114" spans="1:21" s="24" customFormat="1" ht="31.5" thickBot="1" x14ac:dyDescent="0.75">
      <c r="A1114" s="1747" t="s">
        <v>88</v>
      </c>
      <c r="B1114" s="1748"/>
      <c r="C1114" s="1748"/>
      <c r="D1114" s="1748"/>
      <c r="E1114" s="1748"/>
      <c r="F1114" s="1748"/>
      <c r="G1114" s="1748"/>
      <c r="H1114" s="1748"/>
      <c r="I1114" s="1748"/>
      <c r="J1114" s="1748"/>
      <c r="K1114" s="1748"/>
      <c r="L1114" s="1748"/>
      <c r="M1114" s="1748"/>
      <c r="N1114" s="1748"/>
      <c r="O1114" s="1748"/>
      <c r="P1114" s="1748"/>
      <c r="Q1114" s="1749"/>
    </row>
    <row r="1115" spans="1:21" s="24" customFormat="1" ht="16" thickBot="1" x14ac:dyDescent="0.4">
      <c r="A1115" s="365" t="s">
        <v>1525</v>
      </c>
      <c r="B1115" s="366" t="s">
        <v>1526</v>
      </c>
      <c r="C1115" s="367" t="s">
        <v>1527</v>
      </c>
      <c r="H1115" s="259"/>
    </row>
    <row r="1116" spans="1:21" s="24" customFormat="1" ht="15.5" x14ac:dyDescent="0.35">
      <c r="A1116" s="368" t="s">
        <v>1528</v>
      </c>
      <c r="B1116" s="369" t="s">
        <v>1529</v>
      </c>
      <c r="C1116" s="370">
        <v>1.2403E-3</v>
      </c>
      <c r="H1116" s="259"/>
    </row>
    <row r="1117" spans="1:21" s="24" customFormat="1" ht="15.5" x14ac:dyDescent="0.35">
      <c r="A1117" s="371" t="s">
        <v>1530</v>
      </c>
      <c r="B1117" s="372"/>
      <c r="C1117" s="373"/>
      <c r="H1117" s="259"/>
    </row>
    <row r="1118" spans="1:21" s="24" customFormat="1" ht="16" thickBot="1" x14ac:dyDescent="0.4">
      <c r="A1118" s="371"/>
      <c r="B1118" s="372"/>
      <c r="C1118" s="373"/>
      <c r="H1118" s="259"/>
    </row>
    <row r="1119" spans="1:21" s="24" customFormat="1" ht="21.5" thickBot="1" x14ac:dyDescent="0.55000000000000004">
      <c r="A1119" s="1750" t="s">
        <v>677</v>
      </c>
      <c r="B1119" s="1751"/>
      <c r="H1119" s="259"/>
    </row>
    <row r="1120" spans="1:21" s="24" customFormat="1" ht="15.5" x14ac:dyDescent="0.35">
      <c r="A1120" s="374" t="s">
        <v>1531</v>
      </c>
      <c r="B1120" s="559" t="s">
        <v>1532</v>
      </c>
      <c r="C1120" s="560" t="s">
        <v>1757</v>
      </c>
      <c r="H1120" s="259"/>
    </row>
    <row r="1121" spans="1:10" s="24" customFormat="1" ht="29" x14ac:dyDescent="0.35">
      <c r="A1121" s="375" t="s">
        <v>1533</v>
      </c>
      <c r="B1121" s="557">
        <v>24.503</v>
      </c>
      <c r="C1121" s="556" t="s">
        <v>1758</v>
      </c>
      <c r="H1121" s="259"/>
    </row>
    <row r="1122" spans="1:10" s="24" customFormat="1" ht="31" x14ac:dyDescent="0.35">
      <c r="A1122" s="375" t="s">
        <v>1534</v>
      </c>
      <c r="B1122" s="558">
        <v>23.561</v>
      </c>
      <c r="C1122" s="561" t="s">
        <v>1758</v>
      </c>
      <c r="D1122" s="378" t="s">
        <v>1535</v>
      </c>
      <c r="H1122" s="259"/>
    </row>
    <row r="1123" spans="1:10" s="24" customFormat="1" ht="15.5" x14ac:dyDescent="0.35">
      <c r="A1123" s="375" t="s">
        <v>1536</v>
      </c>
      <c r="B1123" s="558">
        <v>4.496E-2</v>
      </c>
      <c r="C1123" s="562" t="s">
        <v>1527</v>
      </c>
      <c r="H1123" s="259"/>
    </row>
    <row r="1124" spans="1:10" s="24" customFormat="1" ht="29.5" thickBot="1" x14ac:dyDescent="0.4">
      <c r="A1124" s="379" t="s">
        <v>1537</v>
      </c>
      <c r="B1124" s="563">
        <v>2.7720000000000002E-2</v>
      </c>
      <c r="C1124" s="564" t="s">
        <v>1759</v>
      </c>
      <c r="H1124" s="259"/>
    </row>
    <row r="1125" spans="1:10" s="24" customFormat="1" ht="15.5" x14ac:dyDescent="0.35">
      <c r="A1125" s="377"/>
      <c r="B1125" s="204"/>
      <c r="C1125" s="377"/>
      <c r="H1125" s="259"/>
    </row>
    <row r="1126" spans="1:10" s="24" customFormat="1" ht="15.5" x14ac:dyDescent="0.35">
      <c r="A1126" s="380" t="s">
        <v>1538</v>
      </c>
      <c r="B1126" s="204"/>
      <c r="C1126" s="377"/>
      <c r="H1126" s="259"/>
    </row>
    <row r="1127" spans="1:10" s="24" customFormat="1" ht="15.5" x14ac:dyDescent="0.35">
      <c r="A1127" s="381"/>
      <c r="B1127" s="382"/>
      <c r="C1127" s="381"/>
      <c r="D1127" s="256"/>
      <c r="E1127" s="256"/>
      <c r="F1127" s="256"/>
      <c r="G1127" s="256"/>
      <c r="H1127" s="257"/>
      <c r="I1127" s="256"/>
      <c r="J1127" s="256"/>
    </row>
    <row r="1128" spans="1:10" s="24" customFormat="1" ht="15.5" x14ac:dyDescent="0.35">
      <c r="A1128" s="381"/>
      <c r="B1128" s="382"/>
      <c r="C1128" s="381"/>
      <c r="D1128" s="256"/>
      <c r="E1128" s="256"/>
      <c r="F1128" s="256"/>
      <c r="G1128" s="256"/>
      <c r="H1128" s="257"/>
      <c r="I1128" s="256"/>
      <c r="J1128" s="256"/>
    </row>
    <row r="1129" spans="1:10" s="24" customFormat="1" ht="15.5" x14ac:dyDescent="0.35">
      <c r="A1129" s="381"/>
      <c r="B1129" s="382"/>
      <c r="C1129" s="381"/>
      <c r="D1129" s="256"/>
      <c r="E1129" s="256"/>
      <c r="F1129" s="256"/>
      <c r="G1129" s="256"/>
      <c r="H1129" s="257"/>
      <c r="I1129" s="256"/>
      <c r="J1129" s="256"/>
    </row>
    <row r="1130" spans="1:10" s="24" customFormat="1" ht="15.5" x14ac:dyDescent="0.35">
      <c r="A1130" s="381"/>
      <c r="B1130" s="382"/>
      <c r="C1130" s="381"/>
      <c r="D1130" s="256"/>
      <c r="E1130" s="256"/>
      <c r="F1130" s="256"/>
      <c r="G1130" s="256"/>
      <c r="H1130" s="257"/>
      <c r="I1130" s="256"/>
      <c r="J1130" s="256"/>
    </row>
    <row r="1131" spans="1:10" s="24" customFormat="1" ht="15.5" x14ac:dyDescent="0.35">
      <c r="A1131" s="381"/>
      <c r="B1131" s="382"/>
      <c r="C1131" s="381"/>
      <c r="D1131" s="256"/>
      <c r="E1131" s="256"/>
      <c r="F1131" s="256"/>
      <c r="G1131" s="256"/>
      <c r="H1131" s="257"/>
      <c r="I1131" s="256"/>
      <c r="J1131" s="256"/>
    </row>
    <row r="1132" spans="1:10" s="24" customFormat="1" ht="15.5" x14ac:dyDescent="0.35">
      <c r="A1132" s="381"/>
      <c r="B1132" s="382"/>
      <c r="C1132" s="381"/>
      <c r="D1132" s="256"/>
      <c r="E1132" s="256"/>
      <c r="F1132" s="256"/>
      <c r="G1132" s="256"/>
      <c r="H1132" s="257"/>
      <c r="I1132" s="256"/>
      <c r="J1132" s="256"/>
    </row>
    <row r="1133" spans="1:10" s="24" customFormat="1" ht="15.5" x14ac:dyDescent="0.35">
      <c r="A1133" s="381"/>
      <c r="B1133" s="382"/>
      <c r="C1133" s="381"/>
      <c r="D1133" s="256"/>
      <c r="E1133" s="256"/>
      <c r="F1133" s="256"/>
      <c r="G1133" s="256"/>
      <c r="H1133" s="257"/>
      <c r="I1133" s="256"/>
      <c r="J1133" s="256"/>
    </row>
    <row r="1134" spans="1:10" s="24" customFormat="1" ht="15.5" x14ac:dyDescent="0.35">
      <c r="A1134" s="381"/>
      <c r="B1134" s="382"/>
      <c r="C1134" s="381"/>
      <c r="D1134" s="256"/>
      <c r="E1134" s="256"/>
      <c r="F1134" s="256"/>
      <c r="G1134" s="256"/>
      <c r="H1134" s="257"/>
      <c r="I1134" s="256"/>
      <c r="J1134" s="256"/>
    </row>
    <row r="1135" spans="1:10" s="24" customFormat="1" ht="15.5" x14ac:dyDescent="0.35">
      <c r="A1135" s="381"/>
      <c r="B1135" s="382"/>
      <c r="C1135" s="381"/>
      <c r="D1135" s="256"/>
      <c r="E1135" s="256"/>
      <c r="F1135" s="256"/>
      <c r="G1135" s="256"/>
      <c r="H1135" s="257"/>
      <c r="I1135" s="256"/>
      <c r="J1135" s="256"/>
    </row>
    <row r="1136" spans="1:10" s="24" customFormat="1" ht="15.5" x14ac:dyDescent="0.35">
      <c r="A1136" s="381"/>
      <c r="B1136" s="382"/>
      <c r="C1136" s="381"/>
      <c r="D1136" s="256"/>
      <c r="E1136" s="256"/>
      <c r="F1136" s="256"/>
      <c r="G1136" s="256"/>
      <c r="H1136" s="257"/>
      <c r="I1136" s="256"/>
      <c r="J1136" s="256"/>
    </row>
    <row r="1137" spans="1:17" s="24" customFormat="1" ht="15.5" x14ac:dyDescent="0.35">
      <c r="A1137" s="381"/>
      <c r="B1137" s="382"/>
      <c r="C1137" s="381"/>
      <c r="D1137" s="256"/>
      <c r="E1137" s="256"/>
      <c r="F1137" s="256"/>
      <c r="G1137" s="256"/>
      <c r="H1137" s="257"/>
      <c r="I1137" s="256"/>
      <c r="J1137" s="256"/>
    </row>
    <row r="1138" spans="1:17" s="24" customFormat="1" ht="15.5" x14ac:dyDescent="0.35">
      <c r="A1138" s="381"/>
      <c r="B1138" s="382"/>
      <c r="C1138" s="381"/>
      <c r="D1138" s="256"/>
      <c r="E1138" s="256"/>
      <c r="F1138" s="256"/>
      <c r="G1138" s="256"/>
      <c r="H1138" s="257"/>
      <c r="I1138" s="256"/>
      <c r="J1138" s="256"/>
    </row>
    <row r="1139" spans="1:17" s="24" customFormat="1" ht="15.5" x14ac:dyDescent="0.35">
      <c r="A1139" s="381"/>
      <c r="B1139" s="382"/>
      <c r="C1139" s="381"/>
      <c r="D1139" s="256"/>
      <c r="E1139" s="256"/>
      <c r="F1139" s="256"/>
      <c r="G1139" s="256"/>
      <c r="H1139" s="257"/>
      <c r="I1139" s="256"/>
      <c r="J1139" s="256"/>
    </row>
    <row r="1140" spans="1:17" s="24" customFormat="1" ht="15.5" x14ac:dyDescent="0.35">
      <c r="A1140" s="381"/>
      <c r="B1140" s="382"/>
      <c r="C1140" s="381"/>
      <c r="D1140" s="256"/>
      <c r="E1140" s="256"/>
      <c r="F1140" s="256"/>
      <c r="G1140" s="256"/>
      <c r="H1140" s="257"/>
      <c r="I1140" s="256"/>
      <c r="J1140" s="256"/>
    </row>
    <row r="1141" spans="1:17" s="24" customFormat="1" ht="15.5" x14ac:dyDescent="0.35">
      <c r="A1141" s="381"/>
      <c r="B1141" s="382"/>
      <c r="C1141" s="381"/>
      <c r="D1141" s="256"/>
      <c r="E1141" s="256"/>
      <c r="F1141" s="256"/>
      <c r="G1141" s="256"/>
      <c r="H1141" s="257"/>
      <c r="I1141" s="256"/>
      <c r="J1141" s="256"/>
    </row>
    <row r="1142" spans="1:17" s="24" customFormat="1" ht="15.5" x14ac:dyDescent="0.35">
      <c r="A1142" s="1746" t="s">
        <v>1539</v>
      </c>
      <c r="B1142" s="1746"/>
      <c r="C1142" s="1746"/>
      <c r="D1142" s="1746"/>
      <c r="E1142" s="1746"/>
      <c r="F1142" s="1746"/>
      <c r="G1142" s="1746"/>
      <c r="H1142" s="1746"/>
      <c r="I1142" s="1746"/>
      <c r="J1142" s="1746"/>
    </row>
    <row r="1143" spans="1:17" s="24" customFormat="1" ht="16" thickBot="1" x14ac:dyDescent="0.4">
      <c r="D1143" s="256"/>
      <c r="H1143" s="259"/>
    </row>
    <row r="1144" spans="1:17" ht="21.5" thickBot="1" x14ac:dyDescent="0.55000000000000004">
      <c r="A1144" s="1615" t="s">
        <v>1540</v>
      </c>
      <c r="B1144" s="1617"/>
      <c r="C1144" s="24"/>
      <c r="D1144" s="24"/>
      <c r="E1144" s="24"/>
      <c r="F1144" s="24"/>
      <c r="G1144" s="24"/>
      <c r="H1144" s="259"/>
      <c r="I1144" s="24"/>
      <c r="J1144" s="24"/>
      <c r="K1144" s="24"/>
      <c r="L1144" s="24"/>
      <c r="M1144" s="24"/>
      <c r="N1144" s="24"/>
      <c r="O1144" s="24"/>
      <c r="P1144" s="24"/>
      <c r="Q1144" s="24"/>
    </row>
    <row r="1145" spans="1:17" s="24" customFormat="1" ht="16" thickBot="1" x14ac:dyDescent="0.4">
      <c r="A1145"/>
      <c r="B1145"/>
      <c r="C1145"/>
      <c r="D1145"/>
      <c r="E1145"/>
      <c r="F1145"/>
      <c r="G1145"/>
      <c r="H1145"/>
      <c r="I1145"/>
      <c r="J1145"/>
      <c r="K1145"/>
      <c r="L1145"/>
      <c r="M1145"/>
      <c r="N1145"/>
      <c r="O1145"/>
      <c r="P1145"/>
      <c r="Q1145"/>
    </row>
    <row r="1146" spans="1:17" s="24" customFormat="1" ht="15.5" x14ac:dyDescent="0.35">
      <c r="A1146" s="383" t="s">
        <v>1541</v>
      </c>
      <c r="B1146" s="366" t="s">
        <v>1542</v>
      </c>
      <c r="C1146" s="384" t="s">
        <v>1543</v>
      </c>
      <c r="H1146" s="259"/>
    </row>
    <row r="1147" spans="1:17" s="24" customFormat="1" ht="15.5" x14ac:dyDescent="0.35">
      <c r="A1147" s="385" t="s">
        <v>715</v>
      </c>
      <c r="B1147" s="386" t="s">
        <v>1544</v>
      </c>
      <c r="C1147" s="387">
        <v>7.1032999999999999</v>
      </c>
      <c r="H1147" s="259"/>
    </row>
    <row r="1148" spans="1:17" s="24" customFormat="1" ht="15.5" x14ac:dyDescent="0.35">
      <c r="A1148" s="385" t="s">
        <v>716</v>
      </c>
      <c r="B1148" s="386" t="s">
        <v>1545</v>
      </c>
      <c r="C1148" s="388">
        <v>0.15673000000000001</v>
      </c>
      <c r="H1148" s="259"/>
    </row>
    <row r="1149" spans="1:17" s="24" customFormat="1" ht="15.5" x14ac:dyDescent="0.35">
      <c r="A1149" s="385" t="s">
        <v>717</v>
      </c>
      <c r="B1149" s="386" t="s">
        <v>1546</v>
      </c>
      <c r="C1149" s="388">
        <v>6.0922999999999998</v>
      </c>
      <c r="H1149" s="259"/>
    </row>
    <row r="1150" spans="1:17" s="24" customFormat="1" ht="15.5" x14ac:dyDescent="0.35">
      <c r="A1150" s="385" t="s">
        <v>718</v>
      </c>
      <c r="B1150" s="386" t="s">
        <v>1547</v>
      </c>
      <c r="C1150" s="389">
        <v>4.6738</v>
      </c>
      <c r="H1150" s="259"/>
    </row>
    <row r="1151" spans="1:17" s="24" customFormat="1" ht="15.5" x14ac:dyDescent="0.35">
      <c r="A1151" s="385" t="s">
        <v>719</v>
      </c>
      <c r="B1151" s="386" t="s">
        <v>1548</v>
      </c>
      <c r="C1151" s="389">
        <v>9.0297999999999998</v>
      </c>
      <c r="H1151" s="259"/>
    </row>
    <row r="1152" spans="1:17" s="24" customFormat="1" ht="15.5" x14ac:dyDescent="0.35">
      <c r="A1152" s="390" t="s">
        <v>720</v>
      </c>
      <c r="B1152" s="386" t="s">
        <v>1549</v>
      </c>
      <c r="C1152" s="389">
        <v>1.9916</v>
      </c>
      <c r="H1152" s="259"/>
    </row>
    <row r="1153" spans="1:17" s="24" customFormat="1" ht="15.5" x14ac:dyDescent="0.35">
      <c r="A1153" s="385" t="s">
        <v>721</v>
      </c>
      <c r="B1153" s="386" t="s">
        <v>1550</v>
      </c>
      <c r="C1153" s="388">
        <v>1.4106000000000001</v>
      </c>
      <c r="H1153" s="259"/>
    </row>
    <row r="1154" spans="1:17" s="24" customFormat="1" ht="15.5" x14ac:dyDescent="0.35">
      <c r="A1154" s="385" t="s">
        <v>723</v>
      </c>
      <c r="B1154" s="386" t="s">
        <v>1551</v>
      </c>
      <c r="C1154" s="389">
        <v>11.896000000000001</v>
      </c>
      <c r="H1154" s="259"/>
    </row>
    <row r="1155" spans="1:17" s="24" customFormat="1" ht="16" thickBot="1" x14ac:dyDescent="0.4">
      <c r="A1155" s="391" t="s">
        <v>722</v>
      </c>
      <c r="B1155" s="392" t="s">
        <v>1552</v>
      </c>
      <c r="C1155" s="393">
        <v>10.712</v>
      </c>
      <c r="H1155" s="259"/>
    </row>
    <row r="1156" spans="1:17" s="24" customFormat="1" ht="16" thickBot="1" x14ac:dyDescent="0.4">
      <c r="H1156" s="259"/>
    </row>
    <row r="1157" spans="1:17" ht="21.5" thickBot="1" x14ac:dyDescent="0.55000000000000004">
      <c r="A1157" s="1615" t="s">
        <v>676</v>
      </c>
      <c r="B1157" s="1616"/>
      <c r="C1157" s="1616"/>
      <c r="D1157" s="1617"/>
      <c r="E1157" s="24"/>
      <c r="F1157" s="24"/>
      <c r="G1157" s="24"/>
      <c r="H1157" s="259"/>
      <c r="I1157" s="24"/>
      <c r="J1157" s="24"/>
      <c r="K1157" s="24"/>
      <c r="L1157" s="24"/>
      <c r="M1157" s="24"/>
      <c r="N1157" s="24"/>
      <c r="O1157" s="24"/>
      <c r="P1157" s="24"/>
      <c r="Q1157" s="24"/>
    </row>
    <row r="1158" spans="1:17" s="24" customFormat="1" ht="16" thickBot="1" x14ac:dyDescent="0.4">
      <c r="A1158"/>
      <c r="B1158"/>
      <c r="C1158"/>
      <c r="D1158"/>
      <c r="E1158"/>
      <c r="F1158"/>
      <c r="G1158"/>
      <c r="H1158"/>
      <c r="I1158"/>
      <c r="J1158"/>
      <c r="K1158"/>
      <c r="L1158"/>
      <c r="M1158"/>
      <c r="N1158"/>
      <c r="O1158"/>
      <c r="P1158"/>
      <c r="Q1158"/>
    </row>
    <row r="1159" spans="1:17" s="24" customFormat="1" ht="15.5" x14ac:dyDescent="0.35">
      <c r="A1159" s="383" t="s">
        <v>762</v>
      </c>
      <c r="B1159" s="366" t="s">
        <v>1553</v>
      </c>
      <c r="C1159" s="383" t="s">
        <v>1554</v>
      </c>
      <c r="G1159" s="259"/>
    </row>
    <row r="1160" spans="1:17" s="24" customFormat="1" ht="15.5" x14ac:dyDescent="0.35">
      <c r="A1160" s="394" t="s">
        <v>1555</v>
      </c>
      <c r="B1160" s="39" t="s">
        <v>1556</v>
      </c>
      <c r="C1160" s="395">
        <v>7.609</v>
      </c>
      <c r="G1160" s="259"/>
    </row>
    <row r="1161" spans="1:17" s="24" customFormat="1" ht="15.5" x14ac:dyDescent="0.35">
      <c r="A1161" s="394" t="s">
        <v>1557</v>
      </c>
      <c r="B1161" s="39" t="s">
        <v>1556</v>
      </c>
      <c r="C1161" s="395">
        <v>7.609</v>
      </c>
      <c r="G1161" s="259"/>
    </row>
    <row r="1162" spans="1:17" s="24" customFormat="1" ht="15.5" x14ac:dyDescent="0.35">
      <c r="A1162" s="394" t="s">
        <v>1558</v>
      </c>
      <c r="B1162" s="39" t="s">
        <v>1559</v>
      </c>
      <c r="C1162" s="395">
        <v>3.03</v>
      </c>
      <c r="G1162" s="259"/>
    </row>
    <row r="1163" spans="1:17" s="24" customFormat="1" ht="15.5" x14ac:dyDescent="0.35">
      <c r="A1163" s="394" t="s">
        <v>1560</v>
      </c>
      <c r="B1163" s="39" t="s">
        <v>1561</v>
      </c>
      <c r="C1163" s="395">
        <v>6.0937999999999999</v>
      </c>
      <c r="G1163" s="259"/>
    </row>
    <row r="1164" spans="1:17" s="24" customFormat="1" ht="15.5" x14ac:dyDescent="0.35">
      <c r="A1164" s="394" t="s">
        <v>1562</v>
      </c>
      <c r="B1164" s="39" t="s">
        <v>1563</v>
      </c>
      <c r="C1164" s="395">
        <v>0.14360000000000001</v>
      </c>
      <c r="G1164" s="259"/>
    </row>
    <row r="1165" spans="1:17" s="24" customFormat="1" ht="15.5" x14ac:dyDescent="0.35">
      <c r="A1165" s="396"/>
      <c r="B1165" s="283"/>
      <c r="C1165" s="283"/>
      <c r="D1165" s="283"/>
      <c r="H1165" s="259"/>
    </row>
    <row r="1166" spans="1:17" s="24" customFormat="1" ht="15.5" x14ac:dyDescent="0.35">
      <c r="A1166" s="383" t="s">
        <v>762</v>
      </c>
      <c r="B1166" s="397" t="s">
        <v>1564</v>
      </c>
      <c r="C1166" s="383" t="s">
        <v>1565</v>
      </c>
      <c r="D1166" s="383" t="s">
        <v>1543</v>
      </c>
      <c r="H1166" s="259"/>
    </row>
    <row r="1167" spans="1:17" s="24" customFormat="1" ht="29" x14ac:dyDescent="0.35">
      <c r="A1167" s="396" t="s">
        <v>1566</v>
      </c>
      <c r="B1167" s="398" t="s">
        <v>1567</v>
      </c>
      <c r="C1167" s="362">
        <v>2.92</v>
      </c>
      <c r="D1167" s="5">
        <f>C1167*0.00110231</f>
        <v>3.2187451999999999E-3</v>
      </c>
      <c r="H1167" s="259"/>
    </row>
    <row r="1168" spans="1:17" s="24" customFormat="1" ht="16" thickBot="1" x14ac:dyDescent="0.4">
      <c r="A1168" s="396"/>
      <c r="B1168" s="283"/>
      <c r="C1168" s="283"/>
      <c r="D1168" s="283"/>
      <c r="H1168" s="259"/>
    </row>
    <row r="1169" spans="1:17" ht="21.5" thickBot="1" x14ac:dyDescent="0.55000000000000004">
      <c r="A1169" s="1615" t="s">
        <v>680</v>
      </c>
      <c r="B1169" s="1616"/>
      <c r="C1169" s="1616"/>
      <c r="D1169" s="1617"/>
      <c r="E1169" s="24"/>
      <c r="F1169" s="24"/>
      <c r="G1169" s="24"/>
      <c r="H1169" s="259"/>
      <c r="I1169" s="24"/>
      <c r="J1169" s="24"/>
      <c r="K1169" s="24"/>
      <c r="L1169" s="24"/>
      <c r="M1169" s="24"/>
      <c r="N1169" s="24"/>
      <c r="O1169" s="24"/>
      <c r="P1169" s="24"/>
      <c r="Q1169" s="24"/>
    </row>
    <row r="1170" spans="1:17" s="24" customFormat="1" ht="16" thickBot="1" x14ac:dyDescent="0.4">
      <c r="A1170"/>
      <c r="B1170"/>
      <c r="C1170"/>
      <c r="D1170"/>
      <c r="E1170"/>
      <c r="F1170"/>
      <c r="G1170"/>
      <c r="H1170"/>
      <c r="I1170"/>
      <c r="J1170"/>
      <c r="K1170"/>
      <c r="L1170"/>
      <c r="M1170"/>
      <c r="N1170"/>
      <c r="O1170"/>
      <c r="P1170"/>
      <c r="Q1170"/>
    </row>
    <row r="1171" spans="1:17" s="24" customFormat="1" ht="15.5" x14ac:dyDescent="0.35">
      <c r="A1171" s="399" t="s">
        <v>1568</v>
      </c>
      <c r="B1171" s="366" t="s">
        <v>1526</v>
      </c>
      <c r="C1171" s="400" t="s">
        <v>1543</v>
      </c>
      <c r="G1171" s="259"/>
    </row>
    <row r="1172" spans="1:17" s="24" customFormat="1" ht="15.5" x14ac:dyDescent="0.35">
      <c r="A1172" s="401" t="s">
        <v>757</v>
      </c>
      <c r="B1172" s="402" t="s">
        <v>1569</v>
      </c>
      <c r="C1172" s="387">
        <v>2.8288000000000002</v>
      </c>
      <c r="G1172" s="259"/>
    </row>
    <row r="1173" spans="1:17" s="24" customFormat="1" ht="16" thickBot="1" x14ac:dyDescent="0.4">
      <c r="A1173" s="403" t="s">
        <v>758</v>
      </c>
      <c r="B1173" s="404" t="s">
        <v>1570</v>
      </c>
      <c r="C1173" s="405">
        <v>0.53310000000000002</v>
      </c>
      <c r="G1173" s="259"/>
    </row>
    <row r="1174" spans="1:17" s="24" customFormat="1" ht="16" thickBot="1" x14ac:dyDescent="0.4">
      <c r="H1174" s="259"/>
    </row>
    <row r="1175" spans="1:17" s="24" customFormat="1" ht="21.5" thickBot="1" x14ac:dyDescent="0.55000000000000004">
      <c r="A1175" s="1615" t="s">
        <v>679</v>
      </c>
      <c r="B1175" s="1616"/>
      <c r="C1175" s="1616"/>
      <c r="D1175" s="1617"/>
      <c r="H1175" s="259"/>
    </row>
    <row r="1176" spans="1:17" s="24" customFormat="1" ht="16" thickBot="1" x14ac:dyDescent="0.4">
      <c r="H1176" s="259"/>
    </row>
    <row r="1177" spans="1:17" s="24" customFormat="1" ht="15.5" x14ac:dyDescent="0.35">
      <c r="A1177" s="406" t="s">
        <v>762</v>
      </c>
      <c r="B1177" s="407" t="s">
        <v>1571</v>
      </c>
      <c r="C1177" s="406" t="s">
        <v>1543</v>
      </c>
      <c r="H1177" s="259"/>
    </row>
    <row r="1178" spans="1:17" s="24" customFormat="1" ht="15.5" x14ac:dyDescent="0.35">
      <c r="A1178" s="408" t="s">
        <v>1572</v>
      </c>
      <c r="B1178" s="409" t="s">
        <v>1573</v>
      </c>
      <c r="C1178" s="410">
        <v>1.0940000000000001</v>
      </c>
      <c r="H1178" s="259"/>
    </row>
    <row r="1179" spans="1:17" s="24" customFormat="1" ht="15.5" x14ac:dyDescent="0.35">
      <c r="A1179" s="408" t="s">
        <v>1574</v>
      </c>
      <c r="B1179" s="409" t="s">
        <v>1573</v>
      </c>
      <c r="C1179" s="410">
        <v>1.0940000000000001</v>
      </c>
      <c r="H1179" s="259"/>
    </row>
    <row r="1180" spans="1:17" s="24" customFormat="1" ht="15.5" x14ac:dyDescent="0.35">
      <c r="A1180" s="408" t="s">
        <v>1575</v>
      </c>
      <c r="B1180" s="409" t="s">
        <v>1576</v>
      </c>
      <c r="C1180" s="410">
        <v>5.8624999999999998</v>
      </c>
      <c r="H1180" s="259"/>
    </row>
    <row r="1181" spans="1:17" s="24" customFormat="1" ht="15.5" x14ac:dyDescent="0.35">
      <c r="A1181" s="408" t="s">
        <v>749</v>
      </c>
      <c r="B1181" s="409" t="s">
        <v>1577</v>
      </c>
      <c r="C1181" s="410">
        <v>2.4394999999999998</v>
      </c>
      <c r="H1181" s="259"/>
    </row>
    <row r="1182" spans="1:17" s="24" customFormat="1" ht="29" x14ac:dyDescent="0.35">
      <c r="A1182" s="408" t="s">
        <v>750</v>
      </c>
      <c r="B1182" s="409" t="s">
        <v>1578</v>
      </c>
      <c r="C1182" s="410">
        <v>2.5211000000000001</v>
      </c>
      <c r="H1182" s="259"/>
    </row>
    <row r="1183" spans="1:17" s="24" customFormat="1" ht="15.5" x14ac:dyDescent="0.35">
      <c r="A1183" s="408" t="s">
        <v>1579</v>
      </c>
      <c r="B1183" s="409" t="s">
        <v>1580</v>
      </c>
      <c r="C1183" s="410">
        <v>0.47961999999999999</v>
      </c>
      <c r="H1183" s="259"/>
    </row>
    <row r="1184" spans="1:17" s="24" customFormat="1" ht="15.5" x14ac:dyDescent="0.35">
      <c r="A1184" s="408" t="s">
        <v>1581</v>
      </c>
      <c r="B1184" s="409" t="s">
        <v>1582</v>
      </c>
      <c r="C1184" s="410">
        <v>11.646000000000001</v>
      </c>
      <c r="H1184" s="259"/>
    </row>
    <row r="1185" spans="1:8" s="24" customFormat="1" ht="15.5" x14ac:dyDescent="0.35">
      <c r="A1185" s="408" t="s">
        <v>1583</v>
      </c>
      <c r="B1185" s="409" t="s">
        <v>1584</v>
      </c>
      <c r="C1185" s="410">
        <v>0.43692999999999999</v>
      </c>
      <c r="H1185" s="259"/>
    </row>
    <row r="1186" spans="1:8" s="24" customFormat="1" ht="29" x14ac:dyDescent="0.35">
      <c r="A1186" s="408" t="s">
        <v>1585</v>
      </c>
      <c r="B1186" s="409" t="s">
        <v>1586</v>
      </c>
      <c r="C1186" s="410">
        <v>2.4152999999999998</v>
      </c>
      <c r="H1186" s="259"/>
    </row>
    <row r="1187" spans="1:8" s="24" customFormat="1" ht="29.5" thickBot="1" x14ac:dyDescent="0.4">
      <c r="A1187" s="411" t="s">
        <v>1587</v>
      </c>
      <c r="B1187" s="412" t="s">
        <v>1588</v>
      </c>
      <c r="C1187" s="413">
        <v>0.41826999999999998</v>
      </c>
      <c r="H1187" s="259"/>
    </row>
    <row r="1188" spans="1:8" s="24" customFormat="1" ht="16" thickBot="1" x14ac:dyDescent="0.4">
      <c r="H1188" s="259"/>
    </row>
    <row r="1189" spans="1:8" s="24" customFormat="1" ht="21.5" thickBot="1" x14ac:dyDescent="0.55000000000000004">
      <c r="A1189" s="1615" t="s">
        <v>1589</v>
      </c>
      <c r="B1189" s="1616"/>
      <c r="C1189" s="1616"/>
      <c r="D1189" s="1617"/>
      <c r="H1189" s="259"/>
    </row>
    <row r="1190" spans="1:8" s="24" customFormat="1" ht="16" thickBot="1" x14ac:dyDescent="0.4">
      <c r="H1190" s="259"/>
    </row>
    <row r="1191" spans="1:8" s="24" customFormat="1" ht="15.5" x14ac:dyDescent="0.35">
      <c r="A1191" s="406" t="s">
        <v>762</v>
      </c>
      <c r="B1191" s="366" t="s">
        <v>1542</v>
      </c>
      <c r="C1191" s="407" t="s">
        <v>1383</v>
      </c>
      <c r="H1191" s="259"/>
    </row>
    <row r="1192" spans="1:8" s="24" customFormat="1" ht="29" x14ac:dyDescent="0.35">
      <c r="A1192" s="408" t="s">
        <v>1590</v>
      </c>
      <c r="B1192" s="409" t="s">
        <v>1591</v>
      </c>
      <c r="C1192" s="410">
        <v>3.9358</v>
      </c>
      <c r="H1192" s="259"/>
    </row>
    <row r="1193" spans="1:8" s="24" customFormat="1" ht="15.5" x14ac:dyDescent="0.35">
      <c r="A1193" s="408" t="s">
        <v>1592</v>
      </c>
      <c r="B1193" s="409" t="s">
        <v>1593</v>
      </c>
      <c r="C1193" s="410">
        <v>3.2029000000000001</v>
      </c>
      <c r="H1193" s="259"/>
    </row>
    <row r="1194" spans="1:8" s="24" customFormat="1" ht="15.5" x14ac:dyDescent="0.35">
      <c r="A1194" s="408" t="s">
        <v>1594</v>
      </c>
      <c r="B1194" s="409" t="s">
        <v>1595</v>
      </c>
      <c r="C1194" s="410">
        <v>2.2707999999999999</v>
      </c>
      <c r="H1194" s="259"/>
    </row>
    <row r="1195" spans="1:8" s="24" customFormat="1" ht="15.5" x14ac:dyDescent="0.35">
      <c r="A1195" s="408" t="s">
        <v>1596</v>
      </c>
      <c r="B1195" s="409" t="s">
        <v>1597</v>
      </c>
      <c r="C1195" s="410">
        <v>1.6064000000000001</v>
      </c>
      <c r="H1195" s="259"/>
    </row>
    <row r="1196" spans="1:8" s="24" customFormat="1" ht="15.5" x14ac:dyDescent="0.35">
      <c r="A1196" s="408" t="s">
        <v>1598</v>
      </c>
      <c r="B1196" s="409" t="s">
        <v>1599</v>
      </c>
      <c r="C1196" s="410">
        <v>2.7721</v>
      </c>
      <c r="H1196" s="259"/>
    </row>
    <row r="1197" spans="1:8" s="24" customFormat="1" ht="15.5" x14ac:dyDescent="0.35">
      <c r="A1197" s="408" t="s">
        <v>1600</v>
      </c>
      <c r="B1197" s="409" t="s">
        <v>1601</v>
      </c>
      <c r="C1197" s="410">
        <v>0.60897000000000001</v>
      </c>
      <c r="H1197" s="259"/>
    </row>
    <row r="1198" spans="1:8" s="24" customFormat="1" ht="29" x14ac:dyDescent="0.35">
      <c r="A1198" s="408" t="s">
        <v>771</v>
      </c>
      <c r="B1198" s="409" t="s">
        <v>1602</v>
      </c>
      <c r="C1198" s="410">
        <v>2.6286999999999998</v>
      </c>
      <c r="H1198" s="259"/>
    </row>
    <row r="1199" spans="1:8" s="24" customFormat="1" ht="15.5" x14ac:dyDescent="0.35">
      <c r="A1199" s="408" t="s">
        <v>1603</v>
      </c>
      <c r="B1199" s="409" t="s">
        <v>1604</v>
      </c>
      <c r="C1199" s="410">
        <v>2.7248000000000001</v>
      </c>
      <c r="H1199" s="259"/>
    </row>
    <row r="1200" spans="1:8" s="24" customFormat="1" ht="29" x14ac:dyDescent="0.35">
      <c r="A1200" s="408" t="s">
        <v>1605</v>
      </c>
      <c r="B1200" s="409" t="s">
        <v>1606</v>
      </c>
      <c r="C1200" s="410">
        <v>1.29</v>
      </c>
      <c r="H1200" s="259"/>
    </row>
    <row r="1201" spans="1:17" s="24" customFormat="1" ht="29" x14ac:dyDescent="0.35">
      <c r="A1201" s="408" t="s">
        <v>1607</v>
      </c>
      <c r="B1201" s="409" t="s">
        <v>1608</v>
      </c>
      <c r="C1201" s="410">
        <v>1.4736</v>
      </c>
      <c r="H1201" s="259"/>
    </row>
    <row r="1202" spans="1:17" s="24" customFormat="1" ht="29" x14ac:dyDescent="0.35">
      <c r="A1202" s="408" t="s">
        <v>775</v>
      </c>
      <c r="B1202" s="409" t="s">
        <v>1609</v>
      </c>
      <c r="C1202" s="410">
        <v>1.4795</v>
      </c>
      <c r="H1202" s="259"/>
    </row>
    <row r="1203" spans="1:17" s="24" customFormat="1" ht="29" x14ac:dyDescent="0.35">
      <c r="A1203" s="408" t="s">
        <v>1610</v>
      </c>
      <c r="B1203" s="409" t="s">
        <v>1611</v>
      </c>
      <c r="C1203" s="410">
        <v>2.5684999999999998</v>
      </c>
      <c r="H1203" s="259"/>
    </row>
    <row r="1204" spans="1:17" s="24" customFormat="1" ht="15.5" x14ac:dyDescent="0.35">
      <c r="A1204" s="408" t="s">
        <v>777</v>
      </c>
      <c r="B1204" s="409" t="s">
        <v>1612</v>
      </c>
      <c r="C1204" s="410">
        <v>8.7681000000000004</v>
      </c>
      <c r="H1204" s="259"/>
    </row>
    <row r="1205" spans="1:17" s="24" customFormat="1" ht="29" x14ac:dyDescent="0.35">
      <c r="A1205" s="408" t="s">
        <v>1613</v>
      </c>
      <c r="B1205" s="409" t="s">
        <v>1614</v>
      </c>
      <c r="C1205" s="410">
        <v>0.13647999999999999</v>
      </c>
      <c r="H1205" s="259"/>
    </row>
    <row r="1206" spans="1:17" s="24" customFormat="1" ht="16" thickBot="1" x14ac:dyDescent="0.4">
      <c r="A1206" s="411" t="s">
        <v>779</v>
      </c>
      <c r="B1206" s="412" t="s">
        <v>1615</v>
      </c>
      <c r="C1206" s="413">
        <v>1.6773</v>
      </c>
      <c r="H1206" s="259"/>
    </row>
    <row r="1207" spans="1:17" ht="16" thickBot="1" x14ac:dyDescent="0.4">
      <c r="A1207" s="24"/>
      <c r="B1207" s="24"/>
      <c r="C1207" s="24"/>
      <c r="D1207" s="24"/>
      <c r="E1207" s="24"/>
      <c r="F1207" s="24"/>
      <c r="G1207" s="24"/>
      <c r="H1207" s="24"/>
      <c r="I1207" s="259"/>
      <c r="J1207" s="24"/>
      <c r="K1207" s="24"/>
      <c r="L1207" s="24"/>
      <c r="M1207" s="24"/>
      <c r="N1207" s="24"/>
      <c r="O1207" s="24"/>
      <c r="P1207" s="24"/>
      <c r="Q1207" s="24"/>
    </row>
    <row r="1208" spans="1:17" ht="21.5" thickBot="1" x14ac:dyDescent="0.55000000000000004">
      <c r="A1208" s="1615" t="s">
        <v>683</v>
      </c>
      <c r="B1208" s="1616"/>
      <c r="C1208" s="1616"/>
      <c r="D1208" s="1617"/>
    </row>
    <row r="1209" spans="1:17" ht="46.5" x14ac:dyDescent="0.35">
      <c r="A1209" s="255" t="s">
        <v>799</v>
      </c>
    </row>
    <row r="1210" spans="1:17" ht="15.5" x14ac:dyDescent="0.35">
      <c r="A1210" s="249">
        <v>3.3</v>
      </c>
    </row>
  </sheetData>
  <sheetProtection algorithmName="SHA-512" hashValue="Zw8MfPdP/dTCNKJDEu2l9Zy3VRt4nmEGavTtS6jH7D7tXAgtFZCFaBOKVTQaPQOUmn4xK1KSmVVRFxbzq2B5UA==" saltValue="NNCvy6vTa7c58eUPYVWV9Q==" spinCount="100000" sheet="1"/>
  <mergeCells count="201">
    <mergeCell ref="A759:G759"/>
    <mergeCell ref="A760:B760"/>
    <mergeCell ref="A761:A819"/>
    <mergeCell ref="B761:G761"/>
    <mergeCell ref="B767:G767"/>
    <mergeCell ref="B773:G773"/>
    <mergeCell ref="B779:G779"/>
    <mergeCell ref="B785:G785"/>
    <mergeCell ref="B791:G791"/>
    <mergeCell ref="B797:G797"/>
    <mergeCell ref="B803:G803"/>
    <mergeCell ref="B809:G809"/>
    <mergeCell ref="B815:G815"/>
    <mergeCell ref="A270:Q270"/>
    <mergeCell ref="A334:A335"/>
    <mergeCell ref="A339:A340"/>
    <mergeCell ref="B342:B343"/>
    <mergeCell ref="B344:B345"/>
    <mergeCell ref="M457:M459"/>
    <mergeCell ref="I463:K465"/>
    <mergeCell ref="I469:M497"/>
    <mergeCell ref="A493:A496"/>
    <mergeCell ref="A319:A320"/>
    <mergeCell ref="B325:B326"/>
    <mergeCell ref="C325:C326"/>
    <mergeCell ref="D325:D326"/>
    <mergeCell ref="E325:E326"/>
    <mergeCell ref="B329:B330"/>
    <mergeCell ref="C329:C330"/>
    <mergeCell ref="D329:D330"/>
    <mergeCell ref="E329:E330"/>
    <mergeCell ref="A433:A441"/>
    <mergeCell ref="A371:A375"/>
    <mergeCell ref="A376:A380"/>
    <mergeCell ref="A461:K461"/>
    <mergeCell ref="A462:B462"/>
    <mergeCell ref="I462:K462"/>
    <mergeCell ref="A450:B450"/>
    <mergeCell ref="A451:B451"/>
    <mergeCell ref="A452:B452"/>
    <mergeCell ref="D455:G455"/>
    <mergeCell ref="A391:A395"/>
    <mergeCell ref="A396:A400"/>
    <mergeCell ref="A401:A405"/>
    <mergeCell ref="A457:A459"/>
    <mergeCell ref="A456:B456"/>
    <mergeCell ref="D422:G422"/>
    <mergeCell ref="A423:B423"/>
    <mergeCell ref="A424:A432"/>
    <mergeCell ref="L364:O364"/>
    <mergeCell ref="H422:K422"/>
    <mergeCell ref="L422:O422"/>
    <mergeCell ref="A418:B418"/>
    <mergeCell ref="A417:B417"/>
    <mergeCell ref="A442:A446"/>
    <mergeCell ref="A449:C449"/>
    <mergeCell ref="D449:G449"/>
    <mergeCell ref="A421:O421"/>
    <mergeCell ref="A246:A248"/>
    <mergeCell ref="A1142:J1142"/>
    <mergeCell ref="A1114:Q1114"/>
    <mergeCell ref="A1119:B1119"/>
    <mergeCell ref="A1144:B1144"/>
    <mergeCell ref="A1157:D1157"/>
    <mergeCell ref="A357:N357"/>
    <mergeCell ref="A358:B358"/>
    <mergeCell ref="I358:N358"/>
    <mergeCell ref="I359:N359"/>
    <mergeCell ref="I360:N360"/>
    <mergeCell ref="I361:N361"/>
    <mergeCell ref="A353:Q353"/>
    <mergeCell ref="A317:Q317"/>
    <mergeCell ref="H455:K455"/>
    <mergeCell ref="A416:B416"/>
    <mergeCell ref="A415:B415"/>
    <mergeCell ref="A414:B414"/>
    <mergeCell ref="A363:N363"/>
    <mergeCell ref="A364:C364"/>
    <mergeCell ref="D364:G364"/>
    <mergeCell ref="A499:I499"/>
    <mergeCell ref="A355:H356"/>
    <mergeCell ref="H364:K364"/>
    <mergeCell ref="A1169:D1169"/>
    <mergeCell ref="A1175:D1175"/>
    <mergeCell ref="A1189:D1189"/>
    <mergeCell ref="B198:E198"/>
    <mergeCell ref="B216:E216"/>
    <mergeCell ref="B194:E194"/>
    <mergeCell ref="B214:E214"/>
    <mergeCell ref="D737:G737"/>
    <mergeCell ref="A738:B738"/>
    <mergeCell ref="A739:A741"/>
    <mergeCell ref="A500:B500"/>
    <mergeCell ref="A406:A410"/>
    <mergeCell ref="A413:C413"/>
    <mergeCell ref="D413:G413"/>
    <mergeCell ref="A422:C422"/>
    <mergeCell ref="A365:B365"/>
    <mergeCell ref="A366:A370"/>
    <mergeCell ref="B220:E220"/>
    <mergeCell ref="A381:A385"/>
    <mergeCell ref="A386:A390"/>
    <mergeCell ref="A1073:G1073"/>
    <mergeCell ref="A1048:Q1048"/>
    <mergeCell ref="A880:Q880"/>
    <mergeCell ref="B986:D987"/>
    <mergeCell ref="G533:K533"/>
    <mergeCell ref="G532:K532"/>
    <mergeCell ref="B988:B989"/>
    <mergeCell ref="A1006:A1007"/>
    <mergeCell ref="A680:A683"/>
    <mergeCell ref="G536:K536"/>
    <mergeCell ref="B1002:D1002"/>
    <mergeCell ref="B1003:D1003"/>
    <mergeCell ref="A997:A1003"/>
    <mergeCell ref="B998:D998"/>
    <mergeCell ref="B993:D993"/>
    <mergeCell ref="B994:D994"/>
    <mergeCell ref="D730:G730"/>
    <mergeCell ref="A731:B731"/>
    <mergeCell ref="A732:A735"/>
    <mergeCell ref="A628:Q628"/>
    <mergeCell ref="A662:Q662"/>
    <mergeCell ref="B657:G657"/>
    <mergeCell ref="A709:B709"/>
    <mergeCell ref="G535:K535"/>
    <mergeCell ref="G534:K534"/>
    <mergeCell ref="A821:F821"/>
    <mergeCell ref="A822:B822"/>
    <mergeCell ref="A823:A878"/>
    <mergeCell ref="R1107:S1107"/>
    <mergeCell ref="R1109:T1109"/>
    <mergeCell ref="A1083:Q1083"/>
    <mergeCell ref="A1084:F1084"/>
    <mergeCell ref="A1105:M1105"/>
    <mergeCell ref="R1105:T1105"/>
    <mergeCell ref="R1106:S1106"/>
    <mergeCell ref="A942:E942"/>
    <mergeCell ref="A940:Q940"/>
    <mergeCell ref="A983:Q983"/>
    <mergeCell ref="B1001:D1001"/>
    <mergeCell ref="A1079:H1079"/>
    <mergeCell ref="A1080:H1080"/>
    <mergeCell ref="A1020:Q1020"/>
    <mergeCell ref="A1040:Q1040"/>
    <mergeCell ref="A1074:H1074"/>
    <mergeCell ref="A1075:H1075"/>
    <mergeCell ref="A1076:J1076"/>
    <mergeCell ref="A1077:I1077"/>
    <mergeCell ref="A1078:H1078"/>
    <mergeCell ref="A1050:G1050"/>
    <mergeCell ref="A1051:G1051"/>
    <mergeCell ref="A1053:F1053"/>
    <mergeCell ref="A1072:I1072"/>
    <mergeCell ref="A2:Q2"/>
    <mergeCell ref="A135:Q135"/>
    <mergeCell ref="A243:Q243"/>
    <mergeCell ref="A94:F94"/>
    <mergeCell ref="A95:F95"/>
    <mergeCell ref="A96:F96"/>
    <mergeCell ref="A83:Q83"/>
    <mergeCell ref="A93:Q93"/>
    <mergeCell ref="B232:E232"/>
    <mergeCell ref="A111:Q111"/>
    <mergeCell ref="A17:Q17"/>
    <mergeCell ref="B235:E235"/>
    <mergeCell ref="A137:I137"/>
    <mergeCell ref="A138:I138"/>
    <mergeCell ref="B171:E171"/>
    <mergeCell ref="B172:C172"/>
    <mergeCell ref="D172:D173"/>
    <mergeCell ref="E172:E173"/>
    <mergeCell ref="B174:E174"/>
    <mergeCell ref="A19:A21"/>
    <mergeCell ref="A40:A41"/>
    <mergeCell ref="A53:A55"/>
    <mergeCell ref="A11:Q11"/>
    <mergeCell ref="A1208:D1208"/>
    <mergeCell ref="A483:A489"/>
    <mergeCell ref="A490:A492"/>
    <mergeCell ref="A467:M467"/>
    <mergeCell ref="A468:B468"/>
    <mergeCell ref="I468:M468"/>
    <mergeCell ref="A469:A475"/>
    <mergeCell ref="A476:A482"/>
    <mergeCell ref="A463:A465"/>
    <mergeCell ref="B995:D995"/>
    <mergeCell ref="C988:C989"/>
    <mergeCell ref="B992:D992"/>
    <mergeCell ref="C680:E680"/>
    <mergeCell ref="C681:E681"/>
    <mergeCell ref="C682:E682"/>
    <mergeCell ref="A742:A746"/>
    <mergeCell ref="A753:A755"/>
    <mergeCell ref="A504:Q504"/>
    <mergeCell ref="A748:B748"/>
    <mergeCell ref="A749:A752"/>
    <mergeCell ref="A710:A718"/>
    <mergeCell ref="A538:Q538"/>
    <mergeCell ref="A719:A727"/>
    <mergeCell ref="A728:A729"/>
  </mergeCells>
  <conditionalFormatting sqref="M732:N735">
    <cfRule type="cellIs" dxfId="33" priority="80" operator="greaterThan">
      <formula>0.25</formula>
    </cfRule>
    <cfRule type="cellIs" dxfId="32" priority="81" operator="greaterThan">
      <formula>0.1</formula>
    </cfRule>
    <cfRule type="cellIs" dxfId="31" priority="82" operator="greaterThan">
      <formula>10</formula>
    </cfRule>
  </conditionalFormatting>
  <conditionalFormatting sqref="M739:N746">
    <cfRule type="cellIs" dxfId="30" priority="79" operator="lessThan">
      <formula>-0.1</formula>
    </cfRule>
  </conditionalFormatting>
  <conditionalFormatting sqref="R414:R417">
    <cfRule type="cellIs" dxfId="29" priority="21" operator="greaterThan">
      <formula>10</formula>
    </cfRule>
    <cfRule type="cellIs" dxfId="28" priority="20" operator="greaterThan">
      <formula>0.1</formula>
    </cfRule>
    <cfRule type="cellIs" dxfId="27" priority="19" operator="greaterThan">
      <formula>0.25</formula>
    </cfRule>
  </conditionalFormatting>
  <conditionalFormatting sqref="R468:R496">
    <cfRule type="cellIs" dxfId="26" priority="1" operator="lessThan">
      <formula>-0.25</formula>
    </cfRule>
    <cfRule type="cellIs" dxfId="25" priority="2" operator="lessThan">
      <formula>-0.1</formula>
    </cfRule>
    <cfRule type="cellIs" dxfId="24" priority="3" operator="lessThan">
      <formula>-0.25</formula>
    </cfRule>
    <cfRule type="cellIs" dxfId="23" priority="4" operator="greaterThan">
      <formula>0.25</formula>
    </cfRule>
    <cfRule type="cellIs" dxfId="22" priority="5" operator="greaterThan">
      <formula>0.1</formula>
    </cfRule>
    <cfRule type="cellIs" dxfId="21" priority="6" operator="greaterThan">
      <formula>10</formula>
    </cfRule>
  </conditionalFormatting>
  <conditionalFormatting sqref="S456:T458">
    <cfRule type="cellIs" dxfId="20" priority="7" operator="lessThan">
      <formula>-0.25</formula>
    </cfRule>
    <cfRule type="cellIs" dxfId="19" priority="8" operator="lessThan">
      <formula>-0.1</formula>
    </cfRule>
    <cfRule type="cellIs" dxfId="18" priority="9" operator="lessThan">
      <formula>-0.25</formula>
    </cfRule>
    <cfRule type="cellIs" dxfId="17" priority="10" operator="greaterThan">
      <formula>0.25</formula>
    </cfRule>
    <cfRule type="cellIs" dxfId="16" priority="11" operator="greaterThan">
      <formula>0.1</formula>
    </cfRule>
    <cfRule type="cellIs" dxfId="15" priority="12" operator="greaterThan">
      <formula>10</formula>
    </cfRule>
  </conditionalFormatting>
  <conditionalFormatting sqref="T710:T728">
    <cfRule type="cellIs" dxfId="14" priority="83" operator="greaterThan">
      <formula>0.25</formula>
    </cfRule>
    <cfRule type="cellIs" dxfId="13" priority="84" operator="greaterThan">
      <formula>0.1</formula>
    </cfRule>
    <cfRule type="cellIs" dxfId="12" priority="85" operator="greaterThan">
      <formula>10</formula>
    </cfRule>
  </conditionalFormatting>
  <conditionalFormatting sqref="T755:T757">
    <cfRule type="cellIs" dxfId="11" priority="109" operator="greaterThan">
      <formula>10</formula>
    </cfRule>
    <cfRule type="cellIs" dxfId="10" priority="107" operator="greaterThan">
      <formula>0.25</formula>
    </cfRule>
    <cfRule type="cellIs" dxfId="9" priority="108" operator="greaterThan">
      <formula>0.1</formula>
    </cfRule>
  </conditionalFormatting>
  <conditionalFormatting sqref="T365:V409">
    <cfRule type="cellIs" dxfId="8" priority="22" operator="greaterThan">
      <formula>0.25</formula>
    </cfRule>
    <cfRule type="cellIs" dxfId="7" priority="23" operator="greaterThan">
      <formula>0.1</formula>
    </cfRule>
    <cfRule type="cellIs" dxfId="6" priority="24" operator="greaterThan">
      <formula>10</formula>
    </cfRule>
  </conditionalFormatting>
  <conditionalFormatting sqref="T423:V445">
    <cfRule type="cellIs" dxfId="5" priority="13" operator="lessThan">
      <formula>-0.25</formula>
    </cfRule>
    <cfRule type="cellIs" dxfId="4" priority="17" operator="greaterThan">
      <formula>0.1</formula>
    </cfRule>
    <cfRule type="cellIs" dxfId="3" priority="16" operator="greaterThan">
      <formula>0.25</formula>
    </cfRule>
    <cfRule type="cellIs" dxfId="2" priority="15" operator="lessThan">
      <formula>-0.25</formula>
    </cfRule>
    <cfRule type="cellIs" dxfId="1" priority="14" operator="lessThan">
      <formula>-0.1</formula>
    </cfRule>
    <cfRule type="cellIs" dxfId="0" priority="18" operator="greaterThan">
      <formula>10</formula>
    </cfRule>
  </conditionalFormatting>
  <hyperlinks>
    <hyperlink ref="A534" r:id="rId1" xr:uid="{78B4BDD2-ED9C-432D-87DE-39C74DAFF70E}"/>
    <hyperlink ref="A1103" r:id="rId2" xr:uid="{EF8F91E8-3566-47F6-AE44-EB56D6A1280B}"/>
    <hyperlink ref="A9" r:id="rId3" xr:uid="{5572DD3E-06B5-44AA-9A09-BD441A430781}"/>
    <hyperlink ref="A502" r:id="rId4" xr:uid="{003F1A01-CB92-48C3-8BA0-FD89B03D60EE}"/>
    <hyperlink ref="A137" r:id="rId5" display="https://www.ipcc.ch/publications_and_data/ar4/wg1/en/ch2s2-10-2.html " xr:uid="{AA13883A-EF30-4033-9BFA-44966434DB02}"/>
    <hyperlink ref="A756" r:id="rId6" xr:uid="{4D45F0D8-0E9E-4EFF-B3DF-DDC06D6AC86B}"/>
    <hyperlink ref="A1023" r:id="rId7" xr:uid="{C63F9035-0B4D-4F5B-963D-E3DB7894AF9F}"/>
    <hyperlink ref="A241" r:id="rId8" xr:uid="{E81564EB-F3DD-4C03-BD25-42B79B37310B}"/>
    <hyperlink ref="A50" r:id="rId9" xr:uid="{EEE481F3-F7EB-4B86-A489-648ADB30B100}"/>
    <hyperlink ref="A37" r:id="rId10" xr:uid="{7AA5A8A3-2290-4ACE-9A28-8B7933ECBE02}"/>
    <hyperlink ref="A81" r:id="rId11" xr:uid="{1D5DB659-AB3B-47A9-A95C-4E25364DD947}"/>
    <hyperlink ref="A169" r:id="rId12" xr:uid="{682D5E9F-13E2-4522-9637-0913C44037A1}"/>
    <hyperlink ref="A351" r:id="rId13" xr:uid="{A6991195-3824-4BC6-8BCB-9FA3E04B0AFB}"/>
    <hyperlink ref="A706" r:id="rId14" xr:uid="{C348053B-7903-45AC-9987-D2B7CFF043CE}"/>
    <hyperlink ref="A1018" r:id="rId15" xr:uid="{5C7D8115-1069-48F5-83DD-2899047D6CF7}"/>
    <hyperlink ref="A91" r:id="rId16" xr:uid="{F251D36D-61FF-408D-BEFD-196E0814A5C3}"/>
    <hyperlink ref="B1167" r:id="rId17" xr:uid="{3409E057-F493-4965-A6E3-DE2A48A8AD07}"/>
    <hyperlink ref="A677" r:id="rId18" xr:uid="{FC00C8C4-8EBE-4E5C-B5F5-3970CC3928AD}"/>
  </hyperlinks>
  <pageMargins left="0.7" right="0.7" top="0.75" bottom="0.75" header="0.3" footer="0.3"/>
  <pageSetup orientation="portrait" horizontalDpi="1200" verticalDpi="1200" r:id="rId19"/>
  <drawing r:id="rId20"/>
  <legacyDrawing r:id="rId21"/>
  <tableParts count="3">
    <tablePart r:id="rId22"/>
    <tablePart r:id="rId23"/>
    <tablePart r:id="rId2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F3D22-7AE9-409D-A8A4-1D3DEE74B840}">
  <sheetPr>
    <tabColor theme="9" tint="-0.499984740745262"/>
    <pageSetUpPr fitToPage="1"/>
  </sheetPr>
  <dimension ref="A1:IK224"/>
  <sheetViews>
    <sheetView zoomScaleNormal="100" workbookViewId="0">
      <selection activeCell="A13" sqref="A13:XFD13"/>
    </sheetView>
  </sheetViews>
  <sheetFormatPr baseColWidth="10" defaultColWidth="8.81640625" defaultRowHeight="14.5" outlineLevelCol="1" x14ac:dyDescent="0.35"/>
  <cols>
    <col min="1" max="1" width="25.7265625" style="7" customWidth="1"/>
    <col min="2" max="2" width="19.453125" style="7" customWidth="1"/>
    <col min="3" max="3" width="31.453125" style="7" customWidth="1"/>
    <col min="4" max="4" width="31.54296875" style="7" customWidth="1"/>
    <col min="5" max="5" width="42.7265625" style="7" customWidth="1"/>
    <col min="6" max="6" width="15.7265625" style="7" customWidth="1"/>
    <col min="7" max="7" width="29.54296875" style="7" bestFit="1" customWidth="1"/>
    <col min="8" max="8" width="36.54296875" style="7" customWidth="1" outlineLevel="1"/>
    <col min="9" max="9" width="41.81640625" style="7" customWidth="1" outlineLevel="1"/>
    <col min="10" max="10" width="45.81640625" style="7" bestFit="1" customWidth="1" outlineLevel="1"/>
    <col min="11" max="11" width="47.7265625" style="7" bestFit="1" customWidth="1" outlineLevel="1"/>
    <col min="12" max="12" width="21.54296875" style="7" customWidth="1" outlineLevel="1"/>
    <col min="13" max="13" width="12.453125" style="7" customWidth="1"/>
    <col min="14" max="245" width="8.81640625" style="7"/>
  </cols>
  <sheetData>
    <row r="1" spans="1:13" ht="74.5" thickBot="1" x14ac:dyDescent="0.4">
      <c r="A1" s="142" t="s">
        <v>30</v>
      </c>
      <c r="B1" s="30" t="s">
        <v>31</v>
      </c>
      <c r="C1" s="92" t="s">
        <v>32</v>
      </c>
      <c r="D1" s="92" t="s">
        <v>33</v>
      </c>
      <c r="E1" s="28" t="s">
        <v>34</v>
      </c>
      <c r="F1" s="29" t="s">
        <v>35</v>
      </c>
      <c r="G1" s="416" t="s">
        <v>36</v>
      </c>
      <c r="H1" s="49"/>
      <c r="I1" s="432" t="s">
        <v>31</v>
      </c>
      <c r="J1" s="433" t="s">
        <v>37</v>
      </c>
      <c r="K1" s="433" t="s">
        <v>38</v>
      </c>
      <c r="L1" s="434" t="s">
        <v>1711</v>
      </c>
      <c r="M1" s="435" t="s">
        <v>1712</v>
      </c>
    </row>
    <row r="2" spans="1:13" ht="19" thickTop="1" x14ac:dyDescent="0.35">
      <c r="B2" s="109" t="s">
        <v>39</v>
      </c>
      <c r="C2" s="97"/>
      <c r="D2" s="97"/>
      <c r="E2" s="103"/>
      <c r="F2" s="104"/>
      <c r="G2" s="105"/>
      <c r="I2" s="436" t="s">
        <v>39</v>
      </c>
      <c r="J2" s="437" t="s">
        <v>40</v>
      </c>
      <c r="K2" s="438" t="str">
        <f t="shared" ref="K2:L5" si="0">E4</f>
        <v>Natural Gas</v>
      </c>
      <c r="L2" s="439">
        <f t="shared" si="0"/>
        <v>0</v>
      </c>
      <c r="M2" s="440">
        <f>L2</f>
        <v>0</v>
      </c>
    </row>
    <row r="3" spans="1:13" ht="15.5" x14ac:dyDescent="0.35">
      <c r="A3" s="144" t="s">
        <v>41</v>
      </c>
      <c r="B3" s="39" t="s">
        <v>39</v>
      </c>
      <c r="C3" s="39" t="s">
        <v>42</v>
      </c>
      <c r="D3" s="39" t="s">
        <v>43</v>
      </c>
      <c r="E3" s="35" t="s">
        <v>42</v>
      </c>
      <c r="F3" s="40">
        <f>SUM(F4:F7)</f>
        <v>0</v>
      </c>
      <c r="G3" s="96" t="e">
        <f>Table15[[#This Row],[CO2mte]]/IF('GHG Emissons Breakdown'!$F$14="Market-Based",Summary!$F$126,IF('GHG Emissons Breakdown'!$F$14="Location-Based",Summary!$F$125,FALSE))</f>
        <v>#DIV/0!</v>
      </c>
      <c r="I3" s="441"/>
      <c r="J3" s="442"/>
      <c r="K3" s="443" t="str">
        <f t="shared" si="0"/>
        <v>LPG</v>
      </c>
      <c r="L3" s="439">
        <f t="shared" si="0"/>
        <v>0</v>
      </c>
      <c r="M3" s="440">
        <f t="shared" ref="M3:M10" si="1">L3</f>
        <v>0</v>
      </c>
    </row>
    <row r="4" spans="1:13" x14ac:dyDescent="0.35">
      <c r="A4" s="144" t="s">
        <v>41</v>
      </c>
      <c r="B4" s="39" t="s">
        <v>39</v>
      </c>
      <c r="C4" s="39" t="s">
        <v>42</v>
      </c>
      <c r="D4" s="39" t="s">
        <v>43</v>
      </c>
      <c r="E4" s="34" t="s">
        <v>44</v>
      </c>
      <c r="F4" s="41">
        <f>Stationary!B5</f>
        <v>0</v>
      </c>
      <c r="G4" s="133" t="e">
        <f>Table15[[#This Row],[CO2mte]]/IF('GHG Emissons Breakdown'!$F$14="Market-Based",Summary!$F$126,IF('GHG Emissons Breakdown'!$F$14="Location-Based",Summary!$F$125,FALSE))</f>
        <v>#DIV/0!</v>
      </c>
      <c r="I4" s="441"/>
      <c r="J4" s="442"/>
      <c r="K4" s="443" t="str">
        <f t="shared" si="0"/>
        <v>Diesel</v>
      </c>
      <c r="L4" s="439">
        <f t="shared" si="0"/>
        <v>0</v>
      </c>
      <c r="M4" s="440">
        <f t="shared" si="1"/>
        <v>0</v>
      </c>
    </row>
    <row r="5" spans="1:13" x14ac:dyDescent="0.35">
      <c r="A5" s="144" t="s">
        <v>41</v>
      </c>
      <c r="B5" s="39" t="s">
        <v>39</v>
      </c>
      <c r="C5" s="39" t="s">
        <v>42</v>
      </c>
      <c r="D5" s="39" t="s">
        <v>43</v>
      </c>
      <c r="E5" s="34" t="s">
        <v>45</v>
      </c>
      <c r="F5" s="41">
        <f>Stationary!B6</f>
        <v>0</v>
      </c>
      <c r="G5" s="133" t="e">
        <f>Table15[[#This Row],[CO2mte]]/IF('GHG Emissons Breakdown'!$F$14="Market-Based",Summary!$F$126,IF('GHG Emissons Breakdown'!$F$14="Location-Based",Summary!$F$125,FALSE))</f>
        <v>#DIV/0!</v>
      </c>
      <c r="I5" s="441"/>
      <c r="J5" s="442"/>
      <c r="K5" s="439" t="str">
        <f t="shared" si="0"/>
        <v>Petrol</v>
      </c>
      <c r="L5" s="439">
        <f t="shared" si="0"/>
        <v>0</v>
      </c>
      <c r="M5" s="440">
        <f t="shared" si="1"/>
        <v>0</v>
      </c>
    </row>
    <row r="6" spans="1:13" x14ac:dyDescent="0.35">
      <c r="A6" s="144" t="s">
        <v>41</v>
      </c>
      <c r="B6" s="39" t="s">
        <v>39</v>
      </c>
      <c r="C6" s="39" t="s">
        <v>42</v>
      </c>
      <c r="D6" s="39" t="s">
        <v>43</v>
      </c>
      <c r="E6" s="34" t="s">
        <v>46</v>
      </c>
      <c r="F6" s="41">
        <f>Stationary!B7</f>
        <v>0</v>
      </c>
      <c r="G6" s="133" t="e">
        <f>Table15[[#This Row],[CO2mte]]/IF('GHG Emissons Breakdown'!$F$14="Market-Based",Summary!$F$126,IF('GHG Emissons Breakdown'!$F$14="Location-Based",Summary!$F$125,FALSE))</f>
        <v>#DIV/0!</v>
      </c>
      <c r="I6" s="441"/>
      <c r="J6" s="444" t="s">
        <v>47</v>
      </c>
      <c r="K6" s="439" t="str">
        <f t="shared" ref="K6:L10" si="2">E9</f>
        <v>Motor Petrol</v>
      </c>
      <c r="L6" s="439">
        <f t="shared" si="2"/>
        <v>0</v>
      </c>
      <c r="M6" s="440">
        <f t="shared" si="1"/>
        <v>0</v>
      </c>
    </row>
    <row r="7" spans="1:13" x14ac:dyDescent="0.35">
      <c r="A7" s="144" t="s">
        <v>41</v>
      </c>
      <c r="B7" s="39" t="s">
        <v>39</v>
      </c>
      <c r="C7" s="39" t="s">
        <v>42</v>
      </c>
      <c r="D7" s="39" t="s">
        <v>43</v>
      </c>
      <c r="E7" s="34" t="s">
        <v>48</v>
      </c>
      <c r="F7" s="41">
        <f>Stationary!B8</f>
        <v>0</v>
      </c>
      <c r="G7" s="133" t="e">
        <f>Table15[[#This Row],[CO2mte]]/IF('GHG Emissons Breakdown'!$F$14="Market-Based",Summary!$F$126,IF('GHG Emissons Breakdown'!$F$14="Location-Based",Summary!$F$125,FALSE))</f>
        <v>#DIV/0!</v>
      </c>
      <c r="I7" s="441"/>
      <c r="J7" s="442"/>
      <c r="K7" s="439" t="str">
        <f t="shared" si="2"/>
        <v>Diesel Clear - Road Vehicles</v>
      </c>
      <c r="L7" s="439">
        <f t="shared" si="2"/>
        <v>0</v>
      </c>
      <c r="M7" s="440">
        <f t="shared" si="1"/>
        <v>0</v>
      </c>
    </row>
    <row r="8" spans="1:13" ht="15.5" x14ac:dyDescent="0.35">
      <c r="A8" s="144" t="s">
        <v>41</v>
      </c>
      <c r="B8" s="39" t="s">
        <v>39</v>
      </c>
      <c r="C8" s="39" t="s">
        <v>49</v>
      </c>
      <c r="D8" s="39" t="s">
        <v>43</v>
      </c>
      <c r="E8" s="35" t="s">
        <v>49</v>
      </c>
      <c r="F8" s="40">
        <f>SUM(F9:F13)</f>
        <v>0</v>
      </c>
      <c r="G8" s="96" t="e">
        <f>Table15[[#This Row],[CO2mte]]/IF('GHG Emissons Breakdown'!$F$14="Market-Based",Summary!$F$126,IF('GHG Emissons Breakdown'!$F$14="Location-Based",Summary!$F$125,FALSE))</f>
        <v>#DIV/0!</v>
      </c>
      <c r="I8" s="441"/>
      <c r="J8" s="442"/>
      <c r="K8" s="439" t="str">
        <f t="shared" si="2"/>
        <v>Diesel Red Dyed - Agricultural</v>
      </c>
      <c r="L8" s="439">
        <f t="shared" si="2"/>
        <v>0</v>
      </c>
      <c r="M8" s="440">
        <f t="shared" si="1"/>
        <v>0</v>
      </c>
    </row>
    <row r="9" spans="1:13" x14ac:dyDescent="0.35">
      <c r="A9" s="144" t="s">
        <v>41</v>
      </c>
      <c r="B9" s="39" t="s">
        <v>39</v>
      </c>
      <c r="C9" s="39" t="s">
        <v>49</v>
      </c>
      <c r="D9" s="39" t="s">
        <v>43</v>
      </c>
      <c r="E9" s="34" t="s">
        <v>50</v>
      </c>
      <c r="F9" s="41">
        <f>Mobile!B5</f>
        <v>0</v>
      </c>
      <c r="G9" s="133" t="e">
        <f>Table15[[#This Row],[CO2mte]]/IF('GHG Emissons Breakdown'!$F$14="Market-Based",Summary!$F$126,IF('GHG Emissons Breakdown'!$F$14="Location-Based",Summary!$F$125,FALSE))</f>
        <v>#DIV/0!</v>
      </c>
      <c r="I9" s="441"/>
      <c r="J9" s="442"/>
      <c r="K9" s="439" t="str">
        <f t="shared" si="2"/>
        <v>LPG</v>
      </c>
      <c r="L9" s="439">
        <f t="shared" si="2"/>
        <v>0</v>
      </c>
      <c r="M9" s="440">
        <f t="shared" si="1"/>
        <v>0</v>
      </c>
    </row>
    <row r="10" spans="1:13" x14ac:dyDescent="0.35">
      <c r="A10" s="144" t="s">
        <v>41</v>
      </c>
      <c r="B10" s="39" t="s">
        <v>39</v>
      </c>
      <c r="C10" s="39" t="s">
        <v>49</v>
      </c>
      <c r="D10" s="39" t="s">
        <v>43</v>
      </c>
      <c r="E10" s="34" t="s">
        <v>51</v>
      </c>
      <c r="F10" s="41">
        <f>Mobile!B6</f>
        <v>0</v>
      </c>
      <c r="G10" s="133" t="e">
        <f>Table15[[#This Row],[CO2mte]]/IF('GHG Emissons Breakdown'!$F$14="Market-Based",Summary!$F$126,IF('GHG Emissons Breakdown'!$F$14="Location-Based",Summary!$F$125,FALSE))</f>
        <v>#DIV/0!</v>
      </c>
      <c r="I10" s="441"/>
      <c r="J10" s="442"/>
      <c r="K10" s="439" t="str">
        <f t="shared" si="2"/>
        <v>Aviation Petrol</v>
      </c>
      <c r="L10" s="439">
        <f t="shared" si="2"/>
        <v>0</v>
      </c>
      <c r="M10" s="440">
        <f t="shared" si="1"/>
        <v>0</v>
      </c>
    </row>
    <row r="11" spans="1:13" x14ac:dyDescent="0.35">
      <c r="A11" s="144" t="s">
        <v>41</v>
      </c>
      <c r="B11" s="39" t="s">
        <v>39</v>
      </c>
      <c r="C11" s="39" t="s">
        <v>49</v>
      </c>
      <c r="D11" s="39" t="s">
        <v>43</v>
      </c>
      <c r="E11" s="34" t="s">
        <v>52</v>
      </c>
      <c r="F11" s="41">
        <f>Mobile!B7</f>
        <v>0</v>
      </c>
      <c r="G11" s="133" t="e">
        <f>Table15[[#This Row],[CO2mte]]/IF('GHG Emissons Breakdown'!$F$14="Market-Based",Summary!$F$126,IF('GHG Emissons Breakdown'!$F$14="Location-Based",Summary!$F$125,FALSE))</f>
        <v>#DIV/0!</v>
      </c>
      <c r="I11" s="441"/>
      <c r="J11" s="444" t="str">
        <f>E14</f>
        <v>Vineyard Practices</v>
      </c>
      <c r="K11" s="439" t="str">
        <f>E15</f>
        <v>Fertilizer Application</v>
      </c>
      <c r="L11" s="439">
        <f>F15</f>
        <v>0</v>
      </c>
      <c r="M11" s="440">
        <f t="shared" ref="M11:M13" si="3">L11</f>
        <v>0</v>
      </c>
    </row>
    <row r="12" spans="1:13" x14ac:dyDescent="0.35">
      <c r="A12" s="144" t="s">
        <v>41</v>
      </c>
      <c r="B12" s="39" t="s">
        <v>39</v>
      </c>
      <c r="C12" s="39" t="s">
        <v>49</v>
      </c>
      <c r="D12" s="39" t="s">
        <v>43</v>
      </c>
      <c r="E12" s="34" t="s">
        <v>45</v>
      </c>
      <c r="F12" s="41">
        <f>Mobile!B8</f>
        <v>0</v>
      </c>
      <c r="G12" s="133" t="e">
        <f>Table15[[#This Row],[CO2mte]]/IF('GHG Emissons Breakdown'!$F$14="Market-Based",Summary!$F$126,IF('GHG Emissons Breakdown'!$F$14="Location-Based",Summary!$F$125,FALSE))</f>
        <v>#DIV/0!</v>
      </c>
      <c r="I12" s="441"/>
      <c r="J12" s="442"/>
      <c r="K12" s="439" t="str">
        <f>E16</f>
        <v>Soil Emissions</v>
      </c>
      <c r="L12" s="439">
        <f>F16</f>
        <v>0</v>
      </c>
      <c r="M12" s="440">
        <f t="shared" si="3"/>
        <v>0</v>
      </c>
    </row>
    <row r="13" spans="1:13" x14ac:dyDescent="0.35">
      <c r="A13" s="144" t="s">
        <v>41</v>
      </c>
      <c r="B13" s="39" t="s">
        <v>39</v>
      </c>
      <c r="C13" s="39" t="s">
        <v>49</v>
      </c>
      <c r="D13" s="39" t="s">
        <v>43</v>
      </c>
      <c r="E13" s="34" t="s">
        <v>53</v>
      </c>
      <c r="F13" s="41">
        <f>Mobile!B9</f>
        <v>0</v>
      </c>
      <c r="G13" s="133" t="e">
        <f>Table15[[#This Row],[CO2mte]]/IF('GHG Emissons Breakdown'!$F$14="Market-Based",Summary!$F$126,IF('GHG Emissons Breakdown'!$F$14="Location-Based",Summary!$F$125,FALSE))</f>
        <v>#DIV/0!</v>
      </c>
      <c r="I13" s="441"/>
      <c r="J13" s="444" t="str">
        <f>E17</f>
        <v>Waste</v>
      </c>
      <c r="K13" s="439" t="str">
        <f>E18</f>
        <v>Onsite wastewater Treatment</v>
      </c>
      <c r="L13" s="439">
        <f>F18</f>
        <v>0</v>
      </c>
      <c r="M13" s="440">
        <f t="shared" si="3"/>
        <v>0</v>
      </c>
    </row>
    <row r="14" spans="1:13" ht="15.5" x14ac:dyDescent="0.35">
      <c r="A14" s="144" t="s">
        <v>41</v>
      </c>
      <c r="B14" s="39" t="s">
        <v>39</v>
      </c>
      <c r="C14" s="39" t="s">
        <v>54</v>
      </c>
      <c r="D14" s="39" t="s">
        <v>43</v>
      </c>
      <c r="E14" s="35" t="s">
        <v>54</v>
      </c>
      <c r="F14" s="42">
        <f>SUM(F15:F16)</f>
        <v>0</v>
      </c>
      <c r="G14" s="96" t="e">
        <f>Table15[[#This Row],[CO2mte]]/IF('GHG Emissons Breakdown'!$F$14="Market-Based",Summary!$F$126,IF('GHG Emissons Breakdown'!$F$14="Location-Based",Summary!$F$125,FALSE))</f>
        <v>#DIV/0!</v>
      </c>
      <c r="I14" s="441"/>
      <c r="J14" s="444" t="s">
        <v>55</v>
      </c>
      <c r="K14" s="443" t="s">
        <v>56</v>
      </c>
      <c r="L14" s="439">
        <f>F22</f>
        <v>0</v>
      </c>
      <c r="M14" s="440">
        <f t="shared" ref="M14:M17" si="4">L14</f>
        <v>0</v>
      </c>
    </row>
    <row r="15" spans="1:13" x14ac:dyDescent="0.35">
      <c r="A15" s="144" t="s">
        <v>41</v>
      </c>
      <c r="B15" s="39" t="s">
        <v>39</v>
      </c>
      <c r="C15" s="39" t="s">
        <v>54</v>
      </c>
      <c r="D15" s="39" t="s">
        <v>43</v>
      </c>
      <c r="E15" s="34" t="s">
        <v>57</v>
      </c>
      <c r="F15" s="41">
        <f>'Soil and Fertilizer'!B5</f>
        <v>0</v>
      </c>
      <c r="G15" s="133" t="e">
        <f>Table15[[#This Row],[CO2mte]]/IF('GHG Emissons Breakdown'!$F$14="Market-Based",Summary!$F$126,IF('GHG Emissons Breakdown'!$F$14="Location-Based",Summary!$F$125,FALSE))</f>
        <v>#DIV/0!</v>
      </c>
      <c r="I15" s="441"/>
      <c r="J15" s="444" t="s">
        <v>58</v>
      </c>
      <c r="K15" s="443" t="s">
        <v>59</v>
      </c>
      <c r="L15" s="439">
        <f>F23</f>
        <v>0</v>
      </c>
      <c r="M15" s="440">
        <f t="shared" si="4"/>
        <v>0</v>
      </c>
    </row>
    <row r="16" spans="1:13" ht="16.5" x14ac:dyDescent="0.45">
      <c r="A16" s="144" t="s">
        <v>41</v>
      </c>
      <c r="B16" s="39" t="s">
        <v>39</v>
      </c>
      <c r="C16" s="39" t="s">
        <v>54</v>
      </c>
      <c r="D16" s="39" t="s">
        <v>43</v>
      </c>
      <c r="E16" s="34" t="s">
        <v>60</v>
      </c>
      <c r="F16" s="41">
        <f>'Soil and Fertilizer'!B6</f>
        <v>0</v>
      </c>
      <c r="G16" s="133" t="e">
        <f>Table15[[#This Row],[CO2mte]]/IF('GHG Emissons Breakdown'!$F$14="Market-Based",Summary!$F$126,IF('GHG Emissons Breakdown'!$F$14="Location-Based",Summary!$F$125,FALSE))</f>
        <v>#DIV/0!</v>
      </c>
      <c r="I16" s="441"/>
      <c r="J16" s="437" t="s">
        <v>61</v>
      </c>
      <c r="K16" s="443" t="str">
        <f>E24</f>
        <v>CO2 Used in Winemaking</v>
      </c>
      <c r="L16" s="439">
        <f>F24</f>
        <v>0</v>
      </c>
      <c r="M16" s="440">
        <f t="shared" si="4"/>
        <v>0</v>
      </c>
    </row>
    <row r="17" spans="1:13" ht="15.5" x14ac:dyDescent="0.35">
      <c r="A17" s="144" t="s">
        <v>41</v>
      </c>
      <c r="B17" s="39" t="s">
        <v>39</v>
      </c>
      <c r="C17" s="39" t="s">
        <v>62</v>
      </c>
      <c r="D17" s="39" t="s">
        <v>43</v>
      </c>
      <c r="E17" s="35" t="s">
        <v>1798</v>
      </c>
      <c r="F17" s="40">
        <f>SUM(F18:F21)</f>
        <v>0</v>
      </c>
      <c r="G17" s="96" t="e">
        <f>Table15[[#This Row],[CO2mte]]/IF('GHG Emissons Breakdown'!$F$14="Market-Based",Summary!$F$126,IF('GHG Emissons Breakdown'!$F$14="Location-Based",Summary!$F$125,FALSE))</f>
        <v>#DIV/0!</v>
      </c>
      <c r="I17" s="441"/>
      <c r="J17" s="445" t="s">
        <v>63</v>
      </c>
      <c r="K17" s="443" t="str">
        <f>E25</f>
        <v>Land Conversion</v>
      </c>
      <c r="L17" s="439">
        <f>F25</f>
        <v>0</v>
      </c>
      <c r="M17" s="440">
        <f t="shared" si="4"/>
        <v>0</v>
      </c>
    </row>
    <row r="18" spans="1:13" x14ac:dyDescent="0.35">
      <c r="A18" s="144" t="s">
        <v>41</v>
      </c>
      <c r="B18" s="39" t="s">
        <v>39</v>
      </c>
      <c r="C18" s="39" t="s">
        <v>62</v>
      </c>
      <c r="D18" s="39" t="s">
        <v>43</v>
      </c>
      <c r="E18" s="1126" t="str">
        <f>'Onsite Waste'!A5</f>
        <v>Onsite wastewater Treatment</v>
      </c>
      <c r="F18" s="41">
        <f>'Onsite Waste'!B5</f>
        <v>0</v>
      </c>
      <c r="G18" s="133" t="e">
        <f>Table15[[#This Row],[CO2mte]]/IF('GHG Emissons Breakdown'!$F$14="Market-Based",Summary!$F$126,IF('GHG Emissons Breakdown'!$F$14="Location-Based",Summary!$F$125,FALSE))</f>
        <v>#DIV/0!</v>
      </c>
      <c r="I18" s="446" t="s">
        <v>65</v>
      </c>
      <c r="J18" s="447" t="s">
        <v>66</v>
      </c>
      <c r="K18" s="448" t="s">
        <v>67</v>
      </c>
      <c r="L18" s="449">
        <f>F28</f>
        <v>0</v>
      </c>
      <c r="M18" s="450">
        <f>F27</f>
        <v>0</v>
      </c>
    </row>
    <row r="19" spans="1:13" x14ac:dyDescent="0.35">
      <c r="A19" s="144"/>
      <c r="B19" s="39" t="s">
        <v>39</v>
      </c>
      <c r="C19" s="39" t="s">
        <v>62</v>
      </c>
      <c r="D19" s="39" t="s">
        <v>43</v>
      </c>
      <c r="E19" s="34" t="str">
        <f>'Onsite Waste'!A6</f>
        <v>Recycling</v>
      </c>
      <c r="F19" s="41">
        <f>'Onsite Waste'!B6</f>
        <v>0</v>
      </c>
      <c r="G19" s="133" t="e">
        <f>Table15[[#This Row],[CO2mte]]/IF('GHG Emissons Breakdown'!$F$14="Market-Based",Summary!$F$126,IF('GHG Emissons Breakdown'!$F$14="Location-Based",Summary!$F$125,FALSE))</f>
        <v>#DIV/0!</v>
      </c>
      <c r="I19" s="451" t="s">
        <v>68</v>
      </c>
      <c r="J19" s="31" t="s">
        <v>69</v>
      </c>
      <c r="K19" s="452" t="str">
        <f>E31</f>
        <v>OPEX</v>
      </c>
      <c r="L19" s="453">
        <f>F31</f>
        <v>0</v>
      </c>
      <c r="M19" s="454">
        <f>L19</f>
        <v>0</v>
      </c>
    </row>
    <row r="20" spans="1:13" x14ac:dyDescent="0.35">
      <c r="A20" s="144"/>
      <c r="B20" s="39" t="s">
        <v>39</v>
      </c>
      <c r="C20" s="39" t="s">
        <v>62</v>
      </c>
      <c r="D20" s="39" t="s">
        <v>43</v>
      </c>
      <c r="E20" s="34" t="str">
        <f>'Onsite Waste'!A7</f>
        <v>Composting/Mixed Organics</v>
      </c>
      <c r="F20" s="41">
        <f>'Onsite Waste'!B7</f>
        <v>0</v>
      </c>
      <c r="G20" s="133" t="e">
        <f>Table15[[#This Row],[CO2mte]]/IF('GHG Emissons Breakdown'!$F$14="Market-Based",Summary!$F$126,IF('GHG Emissons Breakdown'!$F$14="Location-Based",Summary!$F$125,FALSE))</f>
        <v>#DIV/0!</v>
      </c>
      <c r="I20" s="455"/>
      <c r="J20" s="31" t="s">
        <v>71</v>
      </c>
      <c r="K20" s="456" t="str">
        <f t="shared" ref="K20:K34" si="5">E33</f>
        <v>Bottles</v>
      </c>
      <c r="L20" s="453">
        <f t="shared" ref="L20:L34" si="6">F33</f>
        <v>0</v>
      </c>
      <c r="M20" s="454">
        <f t="shared" ref="M20:M51" si="7">L20</f>
        <v>0</v>
      </c>
    </row>
    <row r="21" spans="1:13" x14ac:dyDescent="0.35">
      <c r="A21" s="144"/>
      <c r="B21" s="39" t="s">
        <v>39</v>
      </c>
      <c r="C21" s="39" t="s">
        <v>62</v>
      </c>
      <c r="D21" s="39" t="s">
        <v>43</v>
      </c>
      <c r="E21" s="34" t="str">
        <f>'Onsite Waste'!A8</f>
        <v>All Landfilled Waste</v>
      </c>
      <c r="F21" s="41">
        <f>'Onsite Waste'!B8</f>
        <v>0</v>
      </c>
      <c r="G21" s="133" t="e">
        <f>Table15[[#This Row],[CO2mte]]/IF('GHG Emissons Breakdown'!$F$14="Market-Based",Summary!$F$126,IF('GHG Emissons Breakdown'!$F$14="Location-Based",Summary!$F$125,FALSE))</f>
        <v>#DIV/0!</v>
      </c>
      <c r="I21" s="455"/>
      <c r="J21" s="457"/>
      <c r="K21" s="452" t="str">
        <f t="shared" si="5"/>
        <v>Capsules</v>
      </c>
      <c r="L21" s="453">
        <f t="shared" si="6"/>
        <v>0</v>
      </c>
      <c r="M21" s="454">
        <f t="shared" si="7"/>
        <v>0</v>
      </c>
    </row>
    <row r="22" spans="1:13" ht="18" customHeight="1" x14ac:dyDescent="0.35">
      <c r="A22" s="144" t="s">
        <v>41</v>
      </c>
      <c r="B22" s="39" t="s">
        <v>39</v>
      </c>
      <c r="C22" s="39" t="s">
        <v>56</v>
      </c>
      <c r="D22" s="39" t="s">
        <v>43</v>
      </c>
      <c r="E22" s="35" t="s">
        <v>56</v>
      </c>
      <c r="F22" s="40">
        <f>'Fugitive (refrigerants)'!B4</f>
        <v>0</v>
      </c>
      <c r="G22" s="96" t="e">
        <f>Table15[[#This Row],[CO2mte]]/IF('GHG Emissons Breakdown'!$F$14="Market-Based",Summary!$F$126,IF('GHG Emissons Breakdown'!$F$14="Location-Based",Summary!$F$125,FALSE))</f>
        <v>#DIV/0!</v>
      </c>
      <c r="I22" s="455"/>
      <c r="J22" s="457"/>
      <c r="K22" s="452" t="str">
        <f t="shared" si="5"/>
        <v>Cork</v>
      </c>
      <c r="L22" s="453">
        <f t="shared" si="6"/>
        <v>0</v>
      </c>
      <c r="M22" s="454">
        <f t="shared" si="7"/>
        <v>0</v>
      </c>
    </row>
    <row r="23" spans="1:13" ht="15.5" x14ac:dyDescent="0.35">
      <c r="A23" s="144" t="s">
        <v>41</v>
      </c>
      <c r="B23" s="112" t="s">
        <v>39</v>
      </c>
      <c r="C23" s="112" t="s">
        <v>70</v>
      </c>
      <c r="D23" s="39" t="s">
        <v>43</v>
      </c>
      <c r="E23" s="113" t="s">
        <v>59</v>
      </c>
      <c r="F23" s="114">
        <f>'Biomass Burning'!C5</f>
        <v>0</v>
      </c>
      <c r="G23" s="96" t="e">
        <f>Table15[[#This Row],[CO2mte]]/IF('GHG Emissons Breakdown'!$F$14="Market-Based",Summary!$F$126,IF('GHG Emissons Breakdown'!$F$14="Location-Based",Summary!$F$125,FALSE))</f>
        <v>#DIV/0!</v>
      </c>
      <c r="I23" s="455"/>
      <c r="J23" s="457"/>
      <c r="K23" s="452" t="str">
        <f t="shared" si="5"/>
        <v>Knock Down Boxes</v>
      </c>
      <c r="L23" s="453">
        <f t="shared" si="6"/>
        <v>0</v>
      </c>
      <c r="M23" s="454">
        <f t="shared" si="7"/>
        <v>0</v>
      </c>
    </row>
    <row r="24" spans="1:13" ht="15.5" x14ac:dyDescent="0.35">
      <c r="A24" s="144" t="s">
        <v>41</v>
      </c>
      <c r="B24" s="39" t="s">
        <v>39</v>
      </c>
      <c r="C24" s="39" t="s">
        <v>72</v>
      </c>
      <c r="D24" s="39" t="s">
        <v>43</v>
      </c>
      <c r="E24" s="126" t="s">
        <v>73</v>
      </c>
      <c r="F24" s="40">
        <f>'Fugitive (refrigerants)'!B5</f>
        <v>0</v>
      </c>
      <c r="G24" s="96" t="e">
        <f>Table15[[#This Row],[CO2mte]]/IF('GHG Emissons Breakdown'!$F$14="Market-Based",Summary!$F$126,IF('GHG Emissons Breakdown'!$F$14="Location-Based",Summary!$F$125,FALSE))</f>
        <v>#DIV/0!</v>
      </c>
      <c r="I24" s="455"/>
      <c r="J24" s="457"/>
      <c r="K24" s="452" t="str">
        <f t="shared" si="5"/>
        <v>Box Partitions</v>
      </c>
      <c r="L24" s="453">
        <f t="shared" si="6"/>
        <v>0</v>
      </c>
      <c r="M24" s="454">
        <f t="shared" si="7"/>
        <v>0</v>
      </c>
    </row>
    <row r="25" spans="1:13" ht="15.5" x14ac:dyDescent="0.35">
      <c r="A25" s="144" t="s">
        <v>41</v>
      </c>
      <c r="B25" s="112" t="s">
        <v>39</v>
      </c>
      <c r="C25" s="112" t="s">
        <v>63</v>
      </c>
      <c r="D25" s="39" t="s">
        <v>43</v>
      </c>
      <c r="E25" s="113" t="s">
        <v>63</v>
      </c>
      <c r="F25" s="114">
        <f>'Land Conversion'!B4</f>
        <v>0</v>
      </c>
      <c r="G25" s="96" t="e">
        <f>Table15[[#This Row],[CO2mte]]/IF('GHG Emissons Breakdown'!$F$14="Market-Based",Summary!$F$126,IF('GHG Emissons Breakdown'!$F$14="Location-Based",Summary!$F$125,FALSE))</f>
        <v>#DIV/0!</v>
      </c>
      <c r="I25" s="455"/>
      <c r="J25" s="457"/>
      <c r="K25" s="452" t="str">
        <f t="shared" si="5"/>
        <v>Labels</v>
      </c>
      <c r="L25" s="453">
        <f t="shared" si="6"/>
        <v>0</v>
      </c>
      <c r="M25" s="454">
        <f t="shared" si="7"/>
        <v>0</v>
      </c>
    </row>
    <row r="26" spans="1:13" ht="18.5" x14ac:dyDescent="0.45">
      <c r="B26" s="110" t="s">
        <v>74</v>
      </c>
      <c r="C26" s="106"/>
      <c r="D26" s="106"/>
      <c r="E26" s="107"/>
      <c r="F26" s="108"/>
      <c r="G26" s="50"/>
      <c r="I26" s="455"/>
      <c r="J26" s="457"/>
      <c r="K26" s="452" t="str">
        <f t="shared" si="5"/>
        <v>Pallets</v>
      </c>
      <c r="L26" s="453">
        <f t="shared" si="6"/>
        <v>0</v>
      </c>
      <c r="M26" s="454">
        <f t="shared" si="7"/>
        <v>0</v>
      </c>
    </row>
    <row r="27" spans="1:13" ht="15.5" x14ac:dyDescent="0.35">
      <c r="A27" s="144" t="s">
        <v>41</v>
      </c>
      <c r="B27" s="115" t="s">
        <v>74</v>
      </c>
      <c r="C27" s="115" t="s">
        <v>66</v>
      </c>
      <c r="D27" s="115" t="s">
        <v>75</v>
      </c>
      <c r="E27" s="116" t="s">
        <v>76</v>
      </c>
      <c r="F27" s="128">
        <f>Electricity!B4</f>
        <v>0</v>
      </c>
      <c r="G27" s="117" t="e">
        <f>Table15[[#This Row],[CO2mte]]/$F$125</f>
        <v>#DIV/0!</v>
      </c>
      <c r="I27" s="455"/>
      <c r="J27" s="457"/>
      <c r="K27" s="452" t="str">
        <f t="shared" si="5"/>
        <v>Slip Sheets</v>
      </c>
      <c r="L27" s="453">
        <f t="shared" si="6"/>
        <v>0</v>
      </c>
      <c r="M27" s="454">
        <f t="shared" si="7"/>
        <v>0</v>
      </c>
    </row>
    <row r="28" spans="1:13" ht="15.5" x14ac:dyDescent="0.35">
      <c r="A28" s="144" t="s">
        <v>41</v>
      </c>
      <c r="B28" s="39" t="s">
        <v>74</v>
      </c>
      <c r="C28" s="39" t="s">
        <v>66</v>
      </c>
      <c r="D28" s="39" t="s">
        <v>75</v>
      </c>
      <c r="E28" s="43" t="s">
        <v>77</v>
      </c>
      <c r="F28" s="129">
        <f>Electricity!B6</f>
        <v>0</v>
      </c>
      <c r="G28" s="50" t="e">
        <f>Table15[[#This Row],[CO2mte]]/$F$126</f>
        <v>#DIV/0!</v>
      </c>
      <c r="I28" s="458"/>
      <c r="J28" s="457"/>
      <c r="K28" s="452" t="str">
        <f t="shared" si="5"/>
        <v>Screw Caps</v>
      </c>
      <c r="L28" s="453">
        <f t="shared" si="6"/>
        <v>0</v>
      </c>
      <c r="M28" s="454">
        <f t="shared" si="7"/>
        <v>0</v>
      </c>
    </row>
    <row r="29" spans="1:13" ht="18.5" x14ac:dyDescent="0.45">
      <c r="B29" s="111" t="s">
        <v>68</v>
      </c>
      <c r="C29" s="98"/>
      <c r="D29" s="98"/>
      <c r="E29" s="99"/>
      <c r="F29" s="100"/>
      <c r="G29" s="101"/>
      <c r="I29" s="458"/>
      <c r="J29" s="457"/>
      <c r="K29" s="452" t="str">
        <f t="shared" si="5"/>
        <v>Stickers</v>
      </c>
      <c r="L29" s="453">
        <f t="shared" si="6"/>
        <v>0</v>
      </c>
      <c r="M29" s="454">
        <f t="shared" si="7"/>
        <v>0</v>
      </c>
    </row>
    <row r="30" spans="1:13" ht="18.5" x14ac:dyDescent="0.45">
      <c r="B30" s="111" t="s">
        <v>78</v>
      </c>
      <c r="C30" s="102" t="s">
        <v>43</v>
      </c>
      <c r="D30" s="102"/>
      <c r="E30" s="125" t="s">
        <v>79</v>
      </c>
      <c r="F30" s="100"/>
      <c r="G30" s="101"/>
      <c r="I30" s="458"/>
      <c r="J30" s="457"/>
      <c r="K30" s="452" t="str">
        <f t="shared" si="5"/>
        <v>Tissue Paper</v>
      </c>
      <c r="L30" s="453">
        <f t="shared" si="6"/>
        <v>0</v>
      </c>
      <c r="M30" s="454">
        <f t="shared" si="7"/>
        <v>0</v>
      </c>
    </row>
    <row r="31" spans="1:13" ht="15.5" x14ac:dyDescent="0.35">
      <c r="A31" s="143" t="s">
        <v>80</v>
      </c>
      <c r="B31" s="119" t="s">
        <v>78</v>
      </c>
      <c r="C31" s="119" t="s">
        <v>43</v>
      </c>
      <c r="D31" s="119" t="s">
        <v>81</v>
      </c>
      <c r="E31" s="118" t="s">
        <v>69</v>
      </c>
      <c r="F31" s="123">
        <f>'Purchased Products'!B20</f>
        <v>0</v>
      </c>
      <c r="G31" s="130" t="e">
        <f>Table15[[#This Row],[CO2mte]]/IF('GHG Emissons Breakdown'!$F$14="Market-Based",Summary!$F$126,IF('GHG Emissons Breakdown'!$F$14="Location-Based",Summary!$F$125,FALSE))</f>
        <v>#DIV/0!</v>
      </c>
      <c r="I31" s="458"/>
      <c r="J31" s="457"/>
      <c r="K31" s="452" t="str">
        <f t="shared" si="5"/>
        <v>Wooden Box</v>
      </c>
      <c r="L31" s="453">
        <f t="shared" si="6"/>
        <v>0</v>
      </c>
      <c r="M31" s="454">
        <f t="shared" si="7"/>
        <v>0</v>
      </c>
    </row>
    <row r="32" spans="1:13" ht="15.5" x14ac:dyDescent="0.35">
      <c r="A32" s="144" t="s">
        <v>41</v>
      </c>
      <c r="B32" s="120" t="s">
        <v>78</v>
      </c>
      <c r="C32" s="120" t="s">
        <v>43</v>
      </c>
      <c r="D32" s="120" t="s">
        <v>81</v>
      </c>
      <c r="E32" s="31" t="s">
        <v>71</v>
      </c>
      <c r="F32" s="121">
        <f>SUM(F33:F47)</f>
        <v>0</v>
      </c>
      <c r="G32" s="134" t="e">
        <f>Table15[[#This Row],[CO2mte]]/IF('GHG Emissons Breakdown'!$F$14="Market-Based",Summary!$F$126,IF('GHG Emissons Breakdown'!$F$14="Location-Based",Summary!$F$125,FALSE))</f>
        <v>#DIV/0!</v>
      </c>
      <c r="I32" s="458"/>
      <c r="J32" s="457"/>
      <c r="K32" s="452" t="str">
        <f t="shared" si="5"/>
        <v>Neckers</v>
      </c>
      <c r="L32" s="453">
        <f t="shared" si="6"/>
        <v>0</v>
      </c>
      <c r="M32" s="454">
        <f t="shared" si="7"/>
        <v>0</v>
      </c>
    </row>
    <row r="33" spans="1:13" ht="15.5" x14ac:dyDescent="0.35">
      <c r="A33" s="144" t="s">
        <v>41</v>
      </c>
      <c r="B33" s="119" t="s">
        <v>78</v>
      </c>
      <c r="C33" s="119" t="s">
        <v>43</v>
      </c>
      <c r="D33" s="119" t="s">
        <v>81</v>
      </c>
      <c r="E33" s="32" t="s">
        <v>82</v>
      </c>
      <c r="F33" s="480">
        <f>Packaging!B5</f>
        <v>0</v>
      </c>
      <c r="G33" s="131" t="e">
        <f>Table15[[#This Row],[CO2mte]]/IF('GHG Emissons Breakdown'!$F$14="Market-Based",Summary!$F$126,IF('GHG Emissons Breakdown'!$F$14="Location-Based",Summary!$F$125,FALSE))</f>
        <v>#DIV/0!</v>
      </c>
      <c r="I33" s="458"/>
      <c r="J33" s="457"/>
      <c r="K33" s="452" t="str">
        <f t="shared" si="5"/>
        <v>Wax</v>
      </c>
      <c r="L33" s="453">
        <f t="shared" si="6"/>
        <v>0</v>
      </c>
      <c r="M33" s="454">
        <f t="shared" si="7"/>
        <v>0</v>
      </c>
    </row>
    <row r="34" spans="1:13" ht="15.5" x14ac:dyDescent="0.35">
      <c r="A34" s="144" t="s">
        <v>41</v>
      </c>
      <c r="B34" s="120" t="s">
        <v>78</v>
      </c>
      <c r="C34" s="120" t="s">
        <v>43</v>
      </c>
      <c r="D34" s="120" t="s">
        <v>81</v>
      </c>
      <c r="E34" s="32" t="s">
        <v>83</v>
      </c>
      <c r="F34" s="481">
        <f>Packaging!B6</f>
        <v>0</v>
      </c>
      <c r="G34" s="132" t="e">
        <f>Table15[[#This Row],[CO2mte]]/IF('GHG Emissons Breakdown'!$F$14="Market-Based",Summary!$F$126,IF('GHG Emissons Breakdown'!$F$14="Location-Based",Summary!$F$125,FALSE))</f>
        <v>#DIV/0!</v>
      </c>
      <c r="I34" s="458"/>
      <c r="J34" s="457"/>
      <c r="K34" s="452" t="str">
        <f t="shared" si="5"/>
        <v>Wine bag in box</v>
      </c>
      <c r="L34" s="453">
        <f t="shared" si="6"/>
        <v>0</v>
      </c>
      <c r="M34" s="454">
        <f t="shared" si="7"/>
        <v>0</v>
      </c>
    </row>
    <row r="35" spans="1:13" ht="15.5" x14ac:dyDescent="0.35">
      <c r="A35" s="144" t="s">
        <v>41</v>
      </c>
      <c r="B35" s="119" t="s">
        <v>78</v>
      </c>
      <c r="C35" s="119" t="s">
        <v>43</v>
      </c>
      <c r="D35" s="119" t="s">
        <v>81</v>
      </c>
      <c r="E35" s="32" t="s">
        <v>84</v>
      </c>
      <c r="F35" s="480">
        <f>Packaging!B7</f>
        <v>0</v>
      </c>
      <c r="G35" s="131" t="e">
        <f>Table15[[#This Row],[CO2mte]]/IF('GHG Emissons Breakdown'!$F$14="Market-Based",Summary!$F$126,IF('GHG Emissons Breakdown'!$F$14="Location-Based",Summary!$F$125,FALSE))</f>
        <v>#DIV/0!</v>
      </c>
      <c r="I35" s="458"/>
      <c r="J35" s="33" t="s">
        <v>88</v>
      </c>
      <c r="K35" s="452" t="str">
        <f t="shared" ref="K35:K46" si="8">E49</f>
        <v>Purchased Grapes</v>
      </c>
      <c r="L35" s="459">
        <f t="shared" ref="L35:L46" si="9">F49</f>
        <v>0</v>
      </c>
      <c r="M35" s="454">
        <f t="shared" si="7"/>
        <v>0</v>
      </c>
    </row>
    <row r="36" spans="1:13" ht="15.5" x14ac:dyDescent="0.35">
      <c r="A36" s="144" t="s">
        <v>41</v>
      </c>
      <c r="B36" s="120" t="s">
        <v>78</v>
      </c>
      <c r="C36" s="120" t="s">
        <v>43</v>
      </c>
      <c r="D36" s="120" t="s">
        <v>81</v>
      </c>
      <c r="E36" s="32" t="s">
        <v>85</v>
      </c>
      <c r="F36" s="481">
        <f>Packaging!B8</f>
        <v>0</v>
      </c>
      <c r="G36" s="132" t="e">
        <f>Table15[[#This Row],[CO2mte]]/IF('GHG Emissons Breakdown'!$F$14="Market-Based",Summary!$F$126,IF('GHG Emissons Breakdown'!$F$14="Location-Based",Summary!$F$125,FALSE))</f>
        <v>#DIV/0!</v>
      </c>
      <c r="I36" s="458"/>
      <c r="J36" s="457"/>
      <c r="K36" s="452" t="str">
        <f t="shared" si="8"/>
        <v>Purchased Wine</v>
      </c>
      <c r="L36" s="459">
        <f t="shared" si="9"/>
        <v>0</v>
      </c>
      <c r="M36" s="454">
        <f t="shared" si="7"/>
        <v>0</v>
      </c>
    </row>
    <row r="37" spans="1:13" ht="15.5" x14ac:dyDescent="0.35">
      <c r="A37" s="144" t="s">
        <v>41</v>
      </c>
      <c r="B37" s="119" t="s">
        <v>78</v>
      </c>
      <c r="C37" s="119" t="s">
        <v>43</v>
      </c>
      <c r="D37" s="119" t="s">
        <v>81</v>
      </c>
      <c r="E37" s="32" t="s">
        <v>86</v>
      </c>
      <c r="F37" s="480">
        <f>Packaging!B9</f>
        <v>0</v>
      </c>
      <c r="G37" s="131" t="e">
        <f>Table15[[#This Row],[CO2mte]]/IF('GHG Emissons Breakdown'!$F$14="Market-Based",Summary!$F$126,IF('GHG Emissons Breakdown'!$F$14="Location-Based",Summary!$F$125,FALSE))</f>
        <v>#DIV/0!</v>
      </c>
      <c r="I37" s="458"/>
      <c r="J37" s="457"/>
      <c r="K37" s="452" t="str">
        <f t="shared" si="8"/>
        <v>Crop Protection Products</v>
      </c>
      <c r="L37" s="459">
        <f t="shared" si="9"/>
        <v>0</v>
      </c>
      <c r="M37" s="454">
        <f t="shared" si="7"/>
        <v>0</v>
      </c>
    </row>
    <row r="38" spans="1:13" ht="15.5" x14ac:dyDescent="0.35">
      <c r="A38" s="144" t="s">
        <v>41</v>
      </c>
      <c r="B38" s="120" t="s">
        <v>78</v>
      </c>
      <c r="C38" s="120" t="s">
        <v>43</v>
      </c>
      <c r="D38" s="120" t="s">
        <v>81</v>
      </c>
      <c r="E38" s="32" t="s">
        <v>87</v>
      </c>
      <c r="F38" s="481">
        <f>Packaging!B10</f>
        <v>0</v>
      </c>
      <c r="G38" s="132" t="e">
        <f>Table15[[#This Row],[CO2mte]]/IF('GHG Emissons Breakdown'!$F$14="Market-Based",Summary!$F$126,IF('GHG Emissons Breakdown'!$F$14="Location-Based",Summary!$F$125,FALSE))</f>
        <v>#DIV/0!</v>
      </c>
      <c r="I38" s="458"/>
      <c r="J38" s="457"/>
      <c r="K38" s="452" t="str">
        <f t="shared" si="8"/>
        <v>Grape Vine Trellising</v>
      </c>
      <c r="L38" s="459">
        <f t="shared" si="9"/>
        <v>0</v>
      </c>
      <c r="M38" s="454">
        <f t="shared" si="7"/>
        <v>0</v>
      </c>
    </row>
    <row r="39" spans="1:13" ht="15.5" x14ac:dyDescent="0.35">
      <c r="A39" s="144" t="s">
        <v>41</v>
      </c>
      <c r="B39" s="119" t="s">
        <v>78</v>
      </c>
      <c r="C39" s="119" t="s">
        <v>43</v>
      </c>
      <c r="D39" s="119" t="s">
        <v>81</v>
      </c>
      <c r="E39" s="32" t="s">
        <v>89</v>
      </c>
      <c r="F39" s="480">
        <f>Packaging!B11</f>
        <v>0</v>
      </c>
      <c r="G39" s="131" t="e">
        <f>Table15[[#This Row],[CO2mte]]/IF('GHG Emissons Breakdown'!$F$14="Market-Based",Summary!$F$126,IF('GHG Emissons Breakdown'!$F$14="Location-Based",Summary!$F$125,FALSE))</f>
        <v>#DIV/0!</v>
      </c>
      <c r="I39" s="458"/>
      <c r="J39" s="457"/>
      <c r="K39" s="452" t="str">
        <f t="shared" si="8"/>
        <v>Biomass Treatment</v>
      </c>
      <c r="L39" s="459">
        <f t="shared" si="9"/>
        <v>0</v>
      </c>
      <c r="M39" s="454">
        <f t="shared" si="7"/>
        <v>0</v>
      </c>
    </row>
    <row r="40" spans="1:13" ht="15.5" x14ac:dyDescent="0.35">
      <c r="A40" s="144" t="s">
        <v>41</v>
      </c>
      <c r="B40" s="120" t="s">
        <v>78</v>
      </c>
      <c r="C40" s="120" t="s">
        <v>43</v>
      </c>
      <c r="D40" s="120" t="s">
        <v>81</v>
      </c>
      <c r="E40" s="32" t="s">
        <v>90</v>
      </c>
      <c r="F40" s="481">
        <f>Packaging!B12</f>
        <v>0</v>
      </c>
      <c r="G40" s="132" t="e">
        <f>Table15[[#This Row],[CO2mte]]/IF('GHG Emissons Breakdown'!$F$14="Market-Based",Summary!$F$126,IF('GHG Emissons Breakdown'!$F$14="Location-Based",Summary!$F$125,FALSE))</f>
        <v>#DIV/0!</v>
      </c>
      <c r="I40" s="458"/>
      <c r="J40" s="457"/>
      <c r="K40" s="452" t="str">
        <f t="shared" si="8"/>
        <v>Purchased Municipal Water</v>
      </c>
      <c r="L40" s="459">
        <f t="shared" si="9"/>
        <v>0</v>
      </c>
      <c r="M40" s="454">
        <f t="shared" si="7"/>
        <v>0</v>
      </c>
    </row>
    <row r="41" spans="1:13" ht="15.5" x14ac:dyDescent="0.35">
      <c r="A41" s="144" t="s">
        <v>41</v>
      </c>
      <c r="B41" s="119" t="s">
        <v>78</v>
      </c>
      <c r="C41" s="119" t="s">
        <v>43</v>
      </c>
      <c r="D41" s="119" t="s">
        <v>81</v>
      </c>
      <c r="E41" s="32" t="s">
        <v>91</v>
      </c>
      <c r="F41" s="480">
        <f>Packaging!B13</f>
        <v>0</v>
      </c>
      <c r="G41" s="131" t="e">
        <f>Table15[[#This Row],[CO2mte]]/IF('GHG Emissons Breakdown'!$F$14="Market-Based",Summary!$F$126,IF('GHG Emissons Breakdown'!$F$14="Location-Based",Summary!$F$125,FALSE))</f>
        <v>#DIV/0!</v>
      </c>
      <c r="I41" s="458"/>
      <c r="J41" s="457"/>
      <c r="K41" s="452" t="str">
        <f t="shared" si="8"/>
        <v>Winemaking Gases</v>
      </c>
      <c r="L41" s="459">
        <f t="shared" si="9"/>
        <v>0</v>
      </c>
      <c r="M41" s="454">
        <f t="shared" si="7"/>
        <v>0</v>
      </c>
    </row>
    <row r="42" spans="1:13" ht="15.5" x14ac:dyDescent="0.35">
      <c r="A42" s="144" t="s">
        <v>41</v>
      </c>
      <c r="B42" s="120" t="s">
        <v>78</v>
      </c>
      <c r="C42" s="120" t="s">
        <v>43</v>
      </c>
      <c r="D42" s="120" t="s">
        <v>81</v>
      </c>
      <c r="E42" s="32" t="s">
        <v>92</v>
      </c>
      <c r="F42" s="481">
        <f>Packaging!B14</f>
        <v>0</v>
      </c>
      <c r="G42" s="132" t="e">
        <f>Table15[[#This Row],[CO2mte]]/IF('GHG Emissons Breakdown'!$F$14="Market-Based",Summary!$F$126,IF('GHG Emissons Breakdown'!$F$14="Location-Based",Summary!$F$125,FALSE))</f>
        <v>#DIV/0!</v>
      </c>
      <c r="I42" s="458"/>
      <c r="J42" s="457"/>
      <c r="K42" s="452" t="str">
        <f t="shared" si="8"/>
        <v>Winemaking Products</v>
      </c>
      <c r="L42" s="459">
        <f t="shared" si="9"/>
        <v>0</v>
      </c>
      <c r="M42" s="454">
        <f t="shared" si="7"/>
        <v>0</v>
      </c>
    </row>
    <row r="43" spans="1:13" ht="15.5" x14ac:dyDescent="0.35">
      <c r="A43" s="144" t="s">
        <v>41</v>
      </c>
      <c r="B43" s="119" t="s">
        <v>78</v>
      </c>
      <c r="C43" s="119" t="s">
        <v>43</v>
      </c>
      <c r="D43" s="119" t="s">
        <v>81</v>
      </c>
      <c r="E43" s="32" t="s">
        <v>93</v>
      </c>
      <c r="F43" s="480">
        <f>Packaging!B15</f>
        <v>0</v>
      </c>
      <c r="G43" s="131" t="e">
        <f>Table15[[#This Row],[CO2mte]]/IF('GHG Emissons Breakdown'!$F$14="Market-Based",Summary!$F$126,IF('GHG Emissons Breakdown'!$F$14="Location-Based",Summary!$F$125,FALSE))</f>
        <v>#DIV/0!</v>
      </c>
      <c r="I43" s="458"/>
      <c r="J43" s="457"/>
      <c r="K43" s="452" t="str">
        <f t="shared" si="8"/>
        <v>Water Purification Products</v>
      </c>
      <c r="L43" s="459">
        <f t="shared" si="9"/>
        <v>0</v>
      </c>
      <c r="M43" s="454">
        <f t="shared" si="7"/>
        <v>0</v>
      </c>
    </row>
    <row r="44" spans="1:13" ht="15.5" x14ac:dyDescent="0.35">
      <c r="A44" s="144" t="s">
        <v>41</v>
      </c>
      <c r="B44" s="120" t="s">
        <v>78</v>
      </c>
      <c r="C44" s="120" t="s">
        <v>43</v>
      </c>
      <c r="D44" s="120" t="s">
        <v>81</v>
      </c>
      <c r="E44" s="32" t="s">
        <v>94</v>
      </c>
      <c r="F44" s="481">
        <f>Packaging!B16</f>
        <v>0</v>
      </c>
      <c r="G44" s="132" t="e">
        <f>Table15[[#This Row],[CO2mte]]/IF('GHG Emissons Breakdown'!$F$14="Market-Based",Summary!$F$126,IF('GHG Emissons Breakdown'!$F$14="Location-Based",Summary!$F$125,FALSE))</f>
        <v>#DIV/0!</v>
      </c>
      <c r="I44" s="458"/>
      <c r="J44" s="457"/>
      <c r="K44" s="452" t="str">
        <f t="shared" si="8"/>
        <v>Purchased Wine Bottles by Third Party</v>
      </c>
      <c r="L44" s="459">
        <f t="shared" si="9"/>
        <v>0</v>
      </c>
      <c r="M44" s="454">
        <f t="shared" si="7"/>
        <v>0</v>
      </c>
    </row>
    <row r="45" spans="1:13" ht="15.5" x14ac:dyDescent="0.35">
      <c r="A45" s="144" t="s">
        <v>41</v>
      </c>
      <c r="B45" s="119" t="s">
        <v>78</v>
      </c>
      <c r="C45" s="119" t="s">
        <v>43</v>
      </c>
      <c r="D45" s="119" t="s">
        <v>81</v>
      </c>
      <c r="E45" s="32" t="s">
        <v>95</v>
      </c>
      <c r="F45" s="480">
        <f>Packaging!B17</f>
        <v>0</v>
      </c>
      <c r="G45" s="131" t="e">
        <f>Table15[[#This Row],[CO2mte]]/IF('GHG Emissons Breakdown'!$F$14="Market-Based",Summary!$F$126,IF('GHG Emissons Breakdown'!$F$14="Location-Based",Summary!$F$125,FALSE))</f>
        <v>#DIV/0!</v>
      </c>
      <c r="I45" s="458"/>
      <c r="J45" s="457"/>
      <c r="K45" s="452" t="str">
        <f t="shared" si="8"/>
        <v>Purchased Barrels (embedded)</v>
      </c>
      <c r="L45" s="459">
        <f t="shared" si="9"/>
        <v>0</v>
      </c>
      <c r="M45" s="454">
        <f t="shared" si="7"/>
        <v>0</v>
      </c>
    </row>
    <row r="46" spans="1:13" ht="15.5" x14ac:dyDescent="0.35">
      <c r="A46" s="144" t="s">
        <v>41</v>
      </c>
      <c r="B46" s="120" t="s">
        <v>78</v>
      </c>
      <c r="C46" s="120" t="s">
        <v>43</v>
      </c>
      <c r="D46" s="120" t="s">
        <v>81</v>
      </c>
      <c r="E46" s="32" t="s">
        <v>96</v>
      </c>
      <c r="F46" s="481">
        <f>Packaging!B18</f>
        <v>0</v>
      </c>
      <c r="G46" s="132" t="e">
        <f>Table15[[#This Row],[CO2mte]]/IF('GHG Emissons Breakdown'!$F$14="Market-Based",Summary!$F$126,IF('GHG Emissons Breakdown'!$F$14="Location-Based",Summary!$F$125,FALSE))</f>
        <v>#DIV/0!</v>
      </c>
      <c r="I46" s="458"/>
      <c r="J46" s="457"/>
      <c r="K46" s="452" t="str">
        <f t="shared" si="8"/>
        <v>Fertilizer Production</v>
      </c>
      <c r="L46" s="459">
        <f t="shared" si="9"/>
        <v>0</v>
      </c>
      <c r="M46" s="454">
        <f t="shared" si="7"/>
        <v>0</v>
      </c>
    </row>
    <row r="47" spans="1:13" ht="15.5" x14ac:dyDescent="0.35">
      <c r="A47" s="144" t="s">
        <v>41</v>
      </c>
      <c r="B47" s="119" t="s">
        <v>78</v>
      </c>
      <c r="C47" s="119" t="s">
        <v>43</v>
      </c>
      <c r="D47" s="119" t="s">
        <v>81</v>
      </c>
      <c r="E47" s="32" t="s">
        <v>97</v>
      </c>
      <c r="F47" s="480">
        <f>Packaging!B19</f>
        <v>0</v>
      </c>
      <c r="G47" s="131" t="e">
        <f>Table15[[#This Row],[CO2mte]]/IF('GHG Emissons Breakdown'!$F$14="Market-Based",Summary!$F$126,IF('GHG Emissons Breakdown'!$F$14="Location-Based",Summary!$F$125,FALSE))</f>
        <v>#DIV/0!</v>
      </c>
      <c r="I47" s="458"/>
      <c r="J47" s="460" t="str">
        <f>E61</f>
        <v>Capital Goods</v>
      </c>
      <c r="K47" s="461" t="str">
        <f>E62</f>
        <v>CAPEX</v>
      </c>
      <c r="L47" s="459">
        <f>F62</f>
        <v>0</v>
      </c>
      <c r="M47" s="454">
        <f t="shared" si="7"/>
        <v>0</v>
      </c>
    </row>
    <row r="48" spans="1:13" ht="15.5" x14ac:dyDescent="0.35">
      <c r="A48" s="144" t="s">
        <v>41</v>
      </c>
      <c r="B48" s="120" t="s">
        <v>78</v>
      </c>
      <c r="C48" s="120" t="s">
        <v>43</v>
      </c>
      <c r="D48" s="120" t="s">
        <v>81</v>
      </c>
      <c r="E48" s="33" t="s">
        <v>98</v>
      </c>
      <c r="F48" s="121">
        <f>SUM(F49:F60)</f>
        <v>0</v>
      </c>
      <c r="G48" s="134" t="e">
        <f>Table15[[#This Row],[CO2mte]]/IF('GHG Emissons Breakdown'!$F$14="Market-Based",Summary!$F$126,IF('GHG Emissons Breakdown'!$F$14="Location-Based",Summary!$F$125,FALSE))</f>
        <v>#DIV/0!</v>
      </c>
      <c r="I48" s="458"/>
      <c r="J48" s="31" t="str">
        <f>E64</f>
        <v>Upstream Fuel Emissions</v>
      </c>
      <c r="K48" s="452" t="str">
        <f t="shared" ref="K48:L51" si="10">E65</f>
        <v>Stationary Fuels</v>
      </c>
      <c r="L48" s="453">
        <f t="shared" si="10"/>
        <v>0</v>
      </c>
      <c r="M48" s="454">
        <f t="shared" si="7"/>
        <v>0</v>
      </c>
    </row>
    <row r="49" spans="1:13" ht="15.5" x14ac:dyDescent="0.35">
      <c r="A49" s="144" t="s">
        <v>41</v>
      </c>
      <c r="B49" s="119" t="s">
        <v>78</v>
      </c>
      <c r="C49" s="119" t="s">
        <v>43</v>
      </c>
      <c r="D49" s="119" t="s">
        <v>81</v>
      </c>
      <c r="E49" s="32" t="s">
        <v>99</v>
      </c>
      <c r="F49" s="480">
        <f>'Purchased Products'!B4</f>
        <v>0</v>
      </c>
      <c r="G49" s="131" t="e">
        <f>Table15[[#This Row],[CO2mte]]/IF('GHG Emissons Breakdown'!$F$14="Market-Based",Summary!$F$126,IF('GHG Emissons Breakdown'!$F$14="Location-Based",Summary!$F$125,FALSE))</f>
        <v>#DIV/0!</v>
      </c>
      <c r="I49" s="458"/>
      <c r="J49" s="457"/>
      <c r="K49" s="452" t="str">
        <f t="shared" si="10"/>
        <v>Mobile Fuels</v>
      </c>
      <c r="L49" s="453">
        <f t="shared" si="10"/>
        <v>0</v>
      </c>
      <c r="M49" s="454">
        <f t="shared" si="7"/>
        <v>0</v>
      </c>
    </row>
    <row r="50" spans="1:13" ht="15.5" x14ac:dyDescent="0.35">
      <c r="A50" s="144" t="s">
        <v>41</v>
      </c>
      <c r="B50" s="120" t="s">
        <v>78</v>
      </c>
      <c r="C50" s="120" t="s">
        <v>43</v>
      </c>
      <c r="D50" s="120" t="s">
        <v>81</v>
      </c>
      <c r="E50" s="32" t="s">
        <v>100</v>
      </c>
      <c r="F50" s="481">
        <f>'Purchased Products'!B5</f>
        <v>0</v>
      </c>
      <c r="G50" s="132" t="e">
        <f>Table15[[#This Row],[CO2mte]]/IF('GHG Emissons Breakdown'!$F$14="Market-Based",Summary!$F$126,IF('GHG Emissons Breakdown'!$F$14="Location-Based",Summary!$F$125,FALSE))</f>
        <v>#DIV/0!</v>
      </c>
      <c r="I50" s="458"/>
      <c r="J50" s="457"/>
      <c r="K50" s="452" t="str">
        <f t="shared" si="10"/>
        <v>Own Land Farmed/Harvested by Third Party</v>
      </c>
      <c r="L50" s="453">
        <f t="shared" si="10"/>
        <v>0</v>
      </c>
      <c r="M50" s="454">
        <f t="shared" si="7"/>
        <v>0</v>
      </c>
    </row>
    <row r="51" spans="1:13" ht="15.5" x14ac:dyDescent="0.35">
      <c r="A51" s="144" t="s">
        <v>41</v>
      </c>
      <c r="B51" s="119" t="s">
        <v>78</v>
      </c>
      <c r="C51" s="119" t="s">
        <v>43</v>
      </c>
      <c r="D51" s="119" t="s">
        <v>81</v>
      </c>
      <c r="E51" s="32" t="str">
        <f>'Purchased Products'!A6</f>
        <v>Crop Protection Products</v>
      </c>
      <c r="F51" s="480">
        <f>'Purchased Products'!B6</f>
        <v>0</v>
      </c>
      <c r="G51" s="131" t="e">
        <f>Table15[[#This Row],[CO2mte]]/IF('GHG Emissons Breakdown'!$F$14="Market-Based",Summary!$F$126,IF('GHG Emissons Breakdown'!$F$14="Location-Based",Summary!$F$125,FALSE))</f>
        <v>#DIV/0!</v>
      </c>
      <c r="I51" s="458"/>
      <c r="J51" s="457"/>
      <c r="K51" s="452" t="str">
        <f t="shared" si="10"/>
        <v>Stationary Fuel for Bottling by Third Party</v>
      </c>
      <c r="L51" s="453">
        <f t="shared" si="10"/>
        <v>0</v>
      </c>
      <c r="M51" s="454">
        <f t="shared" si="7"/>
        <v>0</v>
      </c>
    </row>
    <row r="52" spans="1:13" ht="15.5" x14ac:dyDescent="0.35">
      <c r="A52" s="144" t="s">
        <v>41</v>
      </c>
      <c r="B52" s="120" t="s">
        <v>78</v>
      </c>
      <c r="C52" s="120" t="s">
        <v>43</v>
      </c>
      <c r="D52" s="120" t="s">
        <v>81</v>
      </c>
      <c r="E52" s="32" t="str">
        <f>'Purchased Products'!A7</f>
        <v>Grape Vine Trellising</v>
      </c>
      <c r="F52" s="481">
        <f>'Purchased Products'!B7</f>
        <v>0</v>
      </c>
      <c r="G52" s="132" t="e">
        <f>Table15[[#This Row],[CO2mte]]/IF('GHG Emissons Breakdown'!$F$14="Market-Based",Summary!$F$126,IF('GHG Emissons Breakdown'!$F$14="Location-Based",Summary!$F$125,FALSE))</f>
        <v>#DIV/0!</v>
      </c>
      <c r="I52" s="458"/>
      <c r="J52" s="31" t="s">
        <v>101</v>
      </c>
      <c r="K52" s="452" t="s">
        <v>102</v>
      </c>
      <c r="L52" s="453">
        <f>F70</f>
        <v>0</v>
      </c>
      <c r="M52" s="454">
        <f>F69</f>
        <v>0</v>
      </c>
    </row>
    <row r="53" spans="1:13" ht="15.5" x14ac:dyDescent="0.35">
      <c r="A53" s="144" t="s">
        <v>41</v>
      </c>
      <c r="B53" s="119" t="s">
        <v>78</v>
      </c>
      <c r="C53" s="119" t="s">
        <v>43</v>
      </c>
      <c r="D53" s="119" t="s">
        <v>81</v>
      </c>
      <c r="E53" s="32" t="str">
        <f>'Purchased Products'!A8</f>
        <v>Biomass Treatment</v>
      </c>
      <c r="F53" s="480">
        <f>'Purchased Products'!B8</f>
        <v>0</v>
      </c>
      <c r="G53" s="131" t="e">
        <f>Table15[[#This Row],[CO2mte]]/IF('GHG Emissons Breakdown'!$F$14="Market-Based",Summary!$F$126,IF('GHG Emissons Breakdown'!$F$14="Location-Based",Summary!$F$125,FALSE))</f>
        <v>#DIV/0!</v>
      </c>
      <c r="I53" s="458"/>
      <c r="J53" s="31" t="s">
        <v>103</v>
      </c>
      <c r="K53" s="452" t="str">
        <f t="shared" ref="K53:L55" si="11">E72</f>
        <v>Outsourced Harvest Transport (internal fruit only)</v>
      </c>
      <c r="L53" s="453">
        <f t="shared" si="11"/>
        <v>0</v>
      </c>
      <c r="M53" s="454">
        <f t="shared" ref="M53:M60" si="12">L53</f>
        <v>0</v>
      </c>
    </row>
    <row r="54" spans="1:13" ht="15.5" x14ac:dyDescent="0.35">
      <c r="A54" s="144" t="s">
        <v>41</v>
      </c>
      <c r="B54" s="120" t="s">
        <v>78</v>
      </c>
      <c r="C54" s="120" t="s">
        <v>43</v>
      </c>
      <c r="D54" s="120" t="s">
        <v>81</v>
      </c>
      <c r="E54" s="32" t="str">
        <f>'Purchased Products'!A9</f>
        <v>Purchased Municipal Water</v>
      </c>
      <c r="F54" s="481">
        <f>'Purchased Products'!B9</f>
        <v>0</v>
      </c>
      <c r="G54" s="132" t="e">
        <f>Table15[[#This Row],[CO2mte]]/IF('GHG Emissons Breakdown'!$F$14="Market-Based",Summary!$F$126,IF('GHG Emissons Breakdown'!$F$14="Location-Based",Summary!$F$125,FALSE))</f>
        <v>#DIV/0!</v>
      </c>
      <c r="I54" s="458"/>
      <c r="J54" s="457"/>
      <c r="K54" s="452" t="str">
        <f t="shared" si="11"/>
        <v>Barrel Transport</v>
      </c>
      <c r="L54" s="453">
        <f t="shared" si="11"/>
        <v>0</v>
      </c>
      <c r="M54" s="454">
        <f t="shared" si="12"/>
        <v>0</v>
      </c>
    </row>
    <row r="55" spans="1:13" ht="15.5" x14ac:dyDescent="0.35">
      <c r="A55" s="144" t="s">
        <v>41</v>
      </c>
      <c r="B55" s="119" t="s">
        <v>78</v>
      </c>
      <c r="C55" s="119" t="s">
        <v>43</v>
      </c>
      <c r="D55" s="119" t="s">
        <v>81</v>
      </c>
      <c r="E55" s="32" t="str">
        <f>'Purchased Products'!A10</f>
        <v>Winemaking Gases</v>
      </c>
      <c r="F55" s="480">
        <f>'Purchased Products'!B10</f>
        <v>0</v>
      </c>
      <c r="G55" s="131" t="e">
        <f>Table15[[#This Row],[CO2mte]]/IF('GHG Emissons Breakdown'!$F$14="Market-Based",Summary!$F$126,IF('GHG Emissons Breakdown'!$F$14="Location-Based",Summary!$F$125,FALSE))</f>
        <v>#DIV/0!</v>
      </c>
      <c r="I55" s="458"/>
      <c r="J55" s="457"/>
      <c r="K55" s="452" t="str">
        <f t="shared" si="11"/>
        <v>Upstream Product Transport</v>
      </c>
      <c r="L55" s="453">
        <f t="shared" si="11"/>
        <v>0</v>
      </c>
      <c r="M55" s="454">
        <f t="shared" si="12"/>
        <v>0</v>
      </c>
    </row>
    <row r="56" spans="1:13" ht="15.5" x14ac:dyDescent="0.35">
      <c r="A56" s="144" t="s">
        <v>41</v>
      </c>
      <c r="B56" s="120" t="s">
        <v>78</v>
      </c>
      <c r="C56" s="120" t="s">
        <v>43</v>
      </c>
      <c r="D56" s="120" t="s">
        <v>81</v>
      </c>
      <c r="E56" s="32" t="str">
        <f>'Purchased Products'!A11</f>
        <v>Winemaking Products</v>
      </c>
      <c r="F56" s="481">
        <f>'Purchased Products'!B11</f>
        <v>0</v>
      </c>
      <c r="G56" s="132" t="e">
        <f>Table15[[#This Row],[CO2mte]]/IF('GHG Emissons Breakdown'!$F$14="Market-Based",Summary!$F$126,IF('GHG Emissons Breakdown'!$F$14="Location-Based",Summary!$F$125,FALSE))</f>
        <v>#DIV/0!</v>
      </c>
      <c r="I56" s="458"/>
      <c r="J56" s="462"/>
      <c r="K56" s="452" t="s">
        <v>105</v>
      </c>
      <c r="L56" s="453">
        <f>F75</f>
        <v>0</v>
      </c>
      <c r="M56" s="454">
        <f t="shared" si="12"/>
        <v>0</v>
      </c>
    </row>
    <row r="57" spans="1:13" ht="15.5" x14ac:dyDescent="0.35">
      <c r="A57" s="144" t="s">
        <v>41</v>
      </c>
      <c r="B57" s="119" t="s">
        <v>78</v>
      </c>
      <c r="C57" s="119" t="s">
        <v>43</v>
      </c>
      <c r="D57" s="119" t="s">
        <v>81</v>
      </c>
      <c r="E57" s="32" t="str">
        <f>'Purchased Products'!A12</f>
        <v>Water Purification Products</v>
      </c>
      <c r="F57" s="480">
        <f>'Purchased Products'!B12</f>
        <v>0</v>
      </c>
      <c r="G57" s="131" t="e">
        <f>Table15[[#This Row],[CO2mte]]/IF('GHG Emissons Breakdown'!$F$14="Market-Based",Summary!$F$126,IF('GHG Emissons Breakdown'!$F$14="Location-Based",Summary!$F$125,FALSE))</f>
        <v>#DIV/0!</v>
      </c>
      <c r="I57" s="458"/>
      <c r="J57" s="31" t="s">
        <v>107</v>
      </c>
      <c r="K57" s="452" t="str">
        <f t="shared" ref="K57:L60" si="13">E78</f>
        <v>Waste to Landfill Emissions</v>
      </c>
      <c r="L57" s="453">
        <f t="shared" si="13"/>
        <v>0</v>
      </c>
      <c r="M57" s="454">
        <f t="shared" si="12"/>
        <v>0</v>
      </c>
    </row>
    <row r="58" spans="1:13" ht="15.5" x14ac:dyDescent="0.35">
      <c r="A58" s="144" t="s">
        <v>41</v>
      </c>
      <c r="B58" s="120" t="s">
        <v>78</v>
      </c>
      <c r="C58" s="120" t="s">
        <v>43</v>
      </c>
      <c r="D58" s="120" t="s">
        <v>81</v>
      </c>
      <c r="E58" s="32" t="str">
        <f>'Purchased Products'!A15</f>
        <v>Purchased Wine Bottles by Third Party</v>
      </c>
      <c r="F58" s="481">
        <f>'Purchased Products'!B15</f>
        <v>0</v>
      </c>
      <c r="G58" s="132" t="e">
        <f>Table15[[#This Row],[CO2mte]]/IF('GHG Emissons Breakdown'!$F$14="Market-Based",Summary!$F$126,IF('GHG Emissons Breakdown'!$F$14="Location-Based",Summary!$F$125,FALSE))</f>
        <v>#DIV/0!</v>
      </c>
      <c r="I58" s="458"/>
      <c r="J58" s="457"/>
      <c r="K58" s="452" t="str">
        <f t="shared" si="13"/>
        <v>Recycling Emissions</v>
      </c>
      <c r="L58" s="453">
        <f t="shared" si="13"/>
        <v>0</v>
      </c>
      <c r="M58" s="454">
        <f t="shared" si="12"/>
        <v>0</v>
      </c>
    </row>
    <row r="59" spans="1:13" ht="15.5" x14ac:dyDescent="0.35">
      <c r="A59" s="144" t="s">
        <v>41</v>
      </c>
      <c r="B59" s="119" t="s">
        <v>78</v>
      </c>
      <c r="C59" s="119" t="s">
        <v>43</v>
      </c>
      <c r="D59" s="119" t="s">
        <v>81</v>
      </c>
      <c r="E59" s="32" t="s">
        <v>104</v>
      </c>
      <c r="F59" s="480">
        <f>'Purchased Products'!B14</f>
        <v>0</v>
      </c>
      <c r="G59" s="131" t="e">
        <f>Table15[[#This Row],[CO2mte]]/IF('GHG Emissons Breakdown'!$F$14="Market-Based",Summary!$F$126,IF('GHG Emissons Breakdown'!$F$14="Location-Based",Summary!$F$125,FALSE))</f>
        <v>#DIV/0!</v>
      </c>
      <c r="I59" s="458"/>
      <c r="J59" s="457"/>
      <c r="K59" s="452" t="str">
        <f t="shared" si="13"/>
        <v>Compost Emissions</v>
      </c>
      <c r="L59" s="453">
        <f t="shared" si="13"/>
        <v>0</v>
      </c>
      <c r="M59" s="454">
        <f t="shared" si="12"/>
        <v>0</v>
      </c>
    </row>
    <row r="60" spans="1:13" ht="15.5" x14ac:dyDescent="0.35">
      <c r="A60" s="144" t="s">
        <v>41</v>
      </c>
      <c r="B60" s="120" t="s">
        <v>78</v>
      </c>
      <c r="C60" s="120" t="s">
        <v>43</v>
      </c>
      <c r="D60" s="120" t="s">
        <v>81</v>
      </c>
      <c r="E60" s="32" t="s">
        <v>106</v>
      </c>
      <c r="F60" s="481">
        <f>'Fertilizer Production'!B4</f>
        <v>0</v>
      </c>
      <c r="G60" s="132" t="e">
        <f>Table15[[#This Row],[CO2mte]]/IF('GHG Emissons Breakdown'!$F$14="Market-Based",Summary!$F$126,IF('GHG Emissons Breakdown'!$F$14="Location-Based",Summary!$F$125,FALSE))</f>
        <v>#DIV/0!</v>
      </c>
      <c r="I60" s="458"/>
      <c r="J60" s="457"/>
      <c r="K60" s="452" t="str">
        <f t="shared" si="13"/>
        <v>Wastewater Treatment</v>
      </c>
      <c r="L60" s="453">
        <f t="shared" si="13"/>
        <v>0</v>
      </c>
      <c r="M60" s="454">
        <f t="shared" si="12"/>
        <v>0</v>
      </c>
    </row>
    <row r="61" spans="1:13" ht="18.5" x14ac:dyDescent="0.45">
      <c r="B61" s="111" t="s">
        <v>78</v>
      </c>
      <c r="C61" s="102" t="s">
        <v>75</v>
      </c>
      <c r="D61" s="102"/>
      <c r="E61" s="125" t="s">
        <v>108</v>
      </c>
      <c r="F61" s="100"/>
      <c r="G61" s="101"/>
      <c r="I61" s="458"/>
      <c r="J61" s="31" t="s">
        <v>113</v>
      </c>
      <c r="K61" s="452" t="str">
        <f t="shared" ref="K61:L66" si="14">E84</f>
        <v>Passenger Vehicles</v>
      </c>
      <c r="L61" s="453">
        <f t="shared" si="14"/>
        <v>0</v>
      </c>
      <c r="M61" s="454">
        <f t="shared" ref="M61:M74" si="15">L61</f>
        <v>0</v>
      </c>
    </row>
    <row r="62" spans="1:13" ht="18.75" customHeight="1" x14ac:dyDescent="0.35">
      <c r="A62" s="143" t="s">
        <v>80</v>
      </c>
      <c r="B62" s="119" t="s">
        <v>78</v>
      </c>
      <c r="C62" s="119" t="s">
        <v>75</v>
      </c>
      <c r="D62" s="119" t="s">
        <v>81</v>
      </c>
      <c r="E62" s="118" t="s">
        <v>109</v>
      </c>
      <c r="F62" s="123">
        <f>'Purchased Products'!B21</f>
        <v>0</v>
      </c>
      <c r="G62" s="130" t="e">
        <f>Table15[[#This Row],[CO2mte]]/IF('GHG Emissons Breakdown'!$F$14="Market-Based",Summary!$F$126,IF('GHG Emissons Breakdown'!$F$14="Location-Based",Summary!$F$125,FALSE))</f>
        <v>#DIV/0!</v>
      </c>
      <c r="I62" s="458"/>
      <c r="J62" s="457"/>
      <c r="K62" s="452" t="str">
        <f t="shared" si="14"/>
        <v>Air Travel</v>
      </c>
      <c r="L62" s="453">
        <f t="shared" si="14"/>
        <v>0</v>
      </c>
      <c r="M62" s="454">
        <f t="shared" si="15"/>
        <v>0</v>
      </c>
    </row>
    <row r="63" spans="1:13" ht="32" x14ac:dyDescent="0.45">
      <c r="A63" s="144"/>
      <c r="B63" s="111" t="s">
        <v>78</v>
      </c>
      <c r="C63" s="102" t="s">
        <v>110</v>
      </c>
      <c r="D63" s="102"/>
      <c r="E63" s="125" t="s">
        <v>111</v>
      </c>
      <c r="F63" s="100"/>
      <c r="G63" s="101"/>
      <c r="I63" s="458"/>
      <c r="J63" s="463"/>
      <c r="K63" s="452" t="str">
        <f t="shared" si="14"/>
        <v>Rideshare</v>
      </c>
      <c r="L63" s="453">
        <f t="shared" si="14"/>
        <v>0</v>
      </c>
      <c r="M63" s="454">
        <f t="shared" si="15"/>
        <v>0</v>
      </c>
    </row>
    <row r="64" spans="1:13" ht="15.5" x14ac:dyDescent="0.35">
      <c r="A64" s="144" t="s">
        <v>41</v>
      </c>
      <c r="B64" s="119" t="s">
        <v>78</v>
      </c>
      <c r="C64" s="119" t="s">
        <v>110</v>
      </c>
      <c r="D64" s="119" t="s">
        <v>81</v>
      </c>
      <c r="E64" s="118" t="s">
        <v>112</v>
      </c>
      <c r="F64" s="123">
        <f>SUM(F65:F68)</f>
        <v>0</v>
      </c>
      <c r="G64" s="130" t="e">
        <f>Table15[[#This Row],[CO2mte]]/IF('GHG Emissons Breakdown'!$F$14="Market-Based",Summary!$F$126,IF('GHG Emissons Breakdown'!$F$14="Location-Based",Summary!$F$125,FALSE))</f>
        <v>#DIV/0!</v>
      </c>
      <c r="I64" s="458"/>
      <c r="J64" s="457"/>
      <c r="K64" s="452" t="str">
        <f t="shared" si="14"/>
        <v>Train</v>
      </c>
      <c r="L64" s="453">
        <f t="shared" si="14"/>
        <v>0</v>
      </c>
      <c r="M64" s="454">
        <f t="shared" si="15"/>
        <v>0</v>
      </c>
    </row>
    <row r="65" spans="1:13" x14ac:dyDescent="0.35">
      <c r="A65" s="144" t="s">
        <v>41</v>
      </c>
      <c r="B65" s="120" t="s">
        <v>78</v>
      </c>
      <c r="C65" s="120" t="s">
        <v>110</v>
      </c>
      <c r="D65" s="120" t="s">
        <v>81</v>
      </c>
      <c r="E65" s="127" t="s">
        <v>114</v>
      </c>
      <c r="F65" s="122">
        <f>Stationary!C9</f>
        <v>0</v>
      </c>
      <c r="G65" s="132" t="e">
        <f>Table15[[#This Row],[CO2mte]]/IF('GHG Emissons Breakdown'!$F$14="Market-Based",Summary!$F$126,IF('GHG Emissons Breakdown'!$F$14="Location-Based",Summary!$F$125,FALSE))</f>
        <v>#DIV/0!</v>
      </c>
      <c r="I65" s="458"/>
      <c r="J65" s="457"/>
      <c r="K65" s="452" t="str">
        <f t="shared" si="14"/>
        <v>Bus</v>
      </c>
      <c r="L65" s="453">
        <f t="shared" si="14"/>
        <v>0</v>
      </c>
      <c r="M65" s="454">
        <f t="shared" si="15"/>
        <v>0</v>
      </c>
    </row>
    <row r="66" spans="1:13" x14ac:dyDescent="0.35">
      <c r="A66" s="144" t="s">
        <v>41</v>
      </c>
      <c r="B66" s="119" t="s">
        <v>78</v>
      </c>
      <c r="C66" s="119" t="s">
        <v>110</v>
      </c>
      <c r="D66" s="119" t="s">
        <v>81</v>
      </c>
      <c r="E66" s="127" t="s">
        <v>115</v>
      </c>
      <c r="F66" s="124">
        <f>Mobile!C10</f>
        <v>0</v>
      </c>
      <c r="G66" s="131" t="e">
        <f>Table15[[#This Row],[CO2mte]]/IF('GHG Emissons Breakdown'!$F$14="Market-Based",Summary!$F$126,IF('GHG Emissons Breakdown'!$F$14="Location-Based",Summary!$F$125,FALSE))</f>
        <v>#DIV/0!</v>
      </c>
      <c r="I66" s="458"/>
      <c r="J66" s="457"/>
      <c r="K66" s="452" t="str">
        <f t="shared" si="14"/>
        <v>Hotels (optional)</v>
      </c>
      <c r="L66" s="453">
        <f t="shared" si="14"/>
        <v>0</v>
      </c>
      <c r="M66" s="454">
        <f t="shared" ref="M66" si="16">L66</f>
        <v>0</v>
      </c>
    </row>
    <row r="67" spans="1:13" x14ac:dyDescent="0.35">
      <c r="A67" s="144" t="s">
        <v>41</v>
      </c>
      <c r="B67" s="120" t="s">
        <v>78</v>
      </c>
      <c r="C67" s="120" t="s">
        <v>110</v>
      </c>
      <c r="D67" s="120" t="s">
        <v>81</v>
      </c>
      <c r="E67" s="127" t="str">
        <f>'Purchased Products'!A18</f>
        <v>Own Land Farmed/Harvested by Third Party</v>
      </c>
      <c r="F67" s="122">
        <f>'Purchased Products'!B18</f>
        <v>0</v>
      </c>
      <c r="G67" s="132" t="e">
        <f>Table15[[#This Row],[CO2mte]]/IF('GHG Emissons Breakdown'!$F$14="Market-Based",Summary!$F$126,IF('GHG Emissons Breakdown'!$F$14="Location-Based",Summary!$F$125,FALSE))</f>
        <v>#DIV/0!</v>
      </c>
      <c r="I67" s="458"/>
      <c r="J67" s="31" t="s">
        <v>117</v>
      </c>
      <c r="K67" s="452" t="str">
        <f>E91</f>
        <v>Employee Commute</v>
      </c>
      <c r="L67" s="453">
        <f>F91</f>
        <v>0</v>
      </c>
      <c r="M67" s="454">
        <f t="shared" si="15"/>
        <v>0</v>
      </c>
    </row>
    <row r="68" spans="1:13" x14ac:dyDescent="0.35">
      <c r="A68" s="144" t="s">
        <v>41</v>
      </c>
      <c r="B68" s="119" t="s">
        <v>78</v>
      </c>
      <c r="C68" s="119" t="s">
        <v>110</v>
      </c>
      <c r="D68" s="119" t="s">
        <v>81</v>
      </c>
      <c r="E68" s="127" t="str">
        <f>'Purchased Products'!A17</f>
        <v>Stationary Fuel for Bottling by Third Party</v>
      </c>
      <c r="F68" s="124">
        <f>'Purchased Products'!B17</f>
        <v>0</v>
      </c>
      <c r="G68" s="131" t="e">
        <f>Table15[[#This Row],[CO2mte]]/IF('GHG Emissons Breakdown'!$F$14="Market-Based",Summary!$F$126,IF('GHG Emissons Breakdown'!$F$14="Location-Based",Summary!$F$125,FALSE))</f>
        <v>#DIV/0!</v>
      </c>
      <c r="I68" s="458"/>
      <c r="J68" s="33" t="s">
        <v>119</v>
      </c>
      <c r="K68" s="453" t="str">
        <f>E113</f>
        <v>Tasting Room Traffic</v>
      </c>
      <c r="L68" s="453">
        <f>F113</f>
        <v>0</v>
      </c>
      <c r="M68" s="454">
        <f t="shared" si="15"/>
        <v>0</v>
      </c>
    </row>
    <row r="69" spans="1:13" ht="15.5" x14ac:dyDescent="0.35">
      <c r="A69" s="144" t="s">
        <v>41</v>
      </c>
      <c r="B69" s="120" t="s">
        <v>78</v>
      </c>
      <c r="C69" s="120" t="s">
        <v>110</v>
      </c>
      <c r="D69" s="120" t="s">
        <v>81</v>
      </c>
      <c r="E69" s="31" t="s">
        <v>116</v>
      </c>
      <c r="F69" s="121">
        <f>Electricity!B5</f>
        <v>0</v>
      </c>
      <c r="G69" s="134" t="e">
        <f>Table15[[#This Row],[CO2mte]]/$F$125</f>
        <v>#DIV/0!</v>
      </c>
      <c r="I69" s="458"/>
      <c r="J69" s="31" t="s">
        <v>121</v>
      </c>
      <c r="K69" s="453" t="str">
        <f>E96</f>
        <v>Domestic Product Transport</v>
      </c>
      <c r="L69" s="453">
        <f>F96</f>
        <v>0</v>
      </c>
      <c r="M69" s="454">
        <f t="shared" si="15"/>
        <v>0</v>
      </c>
    </row>
    <row r="70" spans="1:13" ht="16.5" customHeight="1" x14ac:dyDescent="0.35">
      <c r="A70" s="144" t="s">
        <v>41</v>
      </c>
      <c r="B70" s="119" t="s">
        <v>78</v>
      </c>
      <c r="C70" s="119" t="s">
        <v>110</v>
      </c>
      <c r="D70" s="119" t="s">
        <v>81</v>
      </c>
      <c r="E70" s="31" t="s">
        <v>118</v>
      </c>
      <c r="F70" s="123">
        <f>Electricity!B7</f>
        <v>0</v>
      </c>
      <c r="G70" s="130" t="e">
        <f>Table15[[#This Row],[CO2mte]]/$F$126</f>
        <v>#DIV/0!</v>
      </c>
      <c r="I70" s="458"/>
      <c r="J70" s="457"/>
      <c r="K70" s="453" t="str">
        <f>E97</f>
        <v>International Product Transport</v>
      </c>
      <c r="L70" s="453">
        <f>F97</f>
        <v>0</v>
      </c>
      <c r="M70" s="454">
        <f t="shared" si="15"/>
        <v>0</v>
      </c>
    </row>
    <row r="71" spans="1:13" ht="18.5" x14ac:dyDescent="0.45">
      <c r="B71" s="111" t="s">
        <v>78</v>
      </c>
      <c r="C71" s="102" t="s">
        <v>81</v>
      </c>
      <c r="D71" s="102"/>
      <c r="E71" s="125" t="s">
        <v>120</v>
      </c>
      <c r="F71" s="100"/>
      <c r="G71" s="101"/>
      <c r="I71" s="458"/>
      <c r="J71" s="31" t="str">
        <f>E99</f>
        <v>Distributor/Retailer Refrigeration</v>
      </c>
      <c r="K71" s="452" t="str">
        <f>E99</f>
        <v>Distributor/Retailer Refrigeration</v>
      </c>
      <c r="L71" s="453">
        <f>F99</f>
        <v>0</v>
      </c>
      <c r="M71" s="454">
        <f t="shared" si="15"/>
        <v>0</v>
      </c>
    </row>
    <row r="72" spans="1:13" ht="15.5" x14ac:dyDescent="0.35">
      <c r="A72" s="144" t="s">
        <v>41</v>
      </c>
      <c r="B72" s="39" t="s">
        <v>78</v>
      </c>
      <c r="C72" s="39" t="s">
        <v>81</v>
      </c>
      <c r="D72" s="39" t="s">
        <v>110</v>
      </c>
      <c r="E72" s="33" t="str">
        <f>'Product Transport'!A7</f>
        <v>Outsourced Harvest Transport (internal fruit only)</v>
      </c>
      <c r="F72" s="40">
        <f>'Product Transport'!B7</f>
        <v>0</v>
      </c>
      <c r="G72" s="130" t="e">
        <f>Table15[[#This Row],[CO2mte]]/IF('GHG Emissons Breakdown'!$F$14="Market-Based",Summary!$F$126,IF('GHG Emissons Breakdown'!$F$14="Location-Based",Summary!$F$125,FALSE))</f>
        <v>#DIV/0!</v>
      </c>
      <c r="I72" s="458"/>
      <c r="J72" s="31" t="str">
        <f>E101</f>
        <v>Consumer Home Refrigeration</v>
      </c>
      <c r="K72" s="452" t="str">
        <f>E101</f>
        <v>Consumer Home Refrigeration</v>
      </c>
      <c r="L72" s="453">
        <f>F101</f>
        <v>0</v>
      </c>
      <c r="M72" s="454">
        <f t="shared" si="15"/>
        <v>0</v>
      </c>
    </row>
    <row r="73" spans="1:13" ht="15.5" x14ac:dyDescent="0.35">
      <c r="A73" s="144" t="s">
        <v>41</v>
      </c>
      <c r="B73" s="39" t="s">
        <v>78</v>
      </c>
      <c r="C73" s="39" t="s">
        <v>81</v>
      </c>
      <c r="D73" s="39" t="s">
        <v>110</v>
      </c>
      <c r="E73" s="31" t="s">
        <v>122</v>
      </c>
      <c r="F73" s="40">
        <f>'Purchased Products'!B13</f>
        <v>0</v>
      </c>
      <c r="G73" s="423" t="e">
        <f>Table15[[#This Row],[CO2mte]]/IF('GHG Emissons Breakdown'!$F$14="Market-Based",Summary!$F$126,IF('GHG Emissons Breakdown'!$F$14="Location-Based",Summary!$F$125,FALSE))</f>
        <v>#DIV/0!</v>
      </c>
      <c r="I73" s="458"/>
      <c r="J73" s="33" t="s">
        <v>124</v>
      </c>
      <c r="K73" s="452" t="str">
        <f>E104</f>
        <v>Australia</v>
      </c>
      <c r="L73" s="453">
        <f>F104</f>
        <v>0</v>
      </c>
      <c r="M73" s="454">
        <f t="shared" si="15"/>
        <v>0</v>
      </c>
    </row>
    <row r="74" spans="1:13" ht="16" thickBot="1" x14ac:dyDescent="0.4">
      <c r="A74" s="144" t="s">
        <v>41</v>
      </c>
      <c r="B74" s="39" t="s">
        <v>78</v>
      </c>
      <c r="C74" s="39" t="s">
        <v>81</v>
      </c>
      <c r="D74" s="39" t="s">
        <v>110</v>
      </c>
      <c r="E74" s="33" t="s">
        <v>123</v>
      </c>
      <c r="F74" s="40">
        <f>'Purchased Products'!B19</f>
        <v>0</v>
      </c>
      <c r="G74" s="130" t="e">
        <f>Table15[[#This Row],[CO2mte]]/IF('GHG Emissons Breakdown'!$F$14="Market-Based",Summary!$F$126,IF('GHG Emissons Breakdown'!$F$14="Location-Based",Summary!$F$125,FALSE))</f>
        <v>#DIV/0!</v>
      </c>
      <c r="I74" s="464"/>
      <c r="J74" s="465"/>
      <c r="K74" s="478" t="str">
        <f>E105</f>
        <v xml:space="preserve">International  </v>
      </c>
      <c r="L74" s="479">
        <f>F105</f>
        <v>0</v>
      </c>
      <c r="M74" s="466">
        <f t="shared" si="15"/>
        <v>0</v>
      </c>
    </row>
    <row r="75" spans="1:13" ht="15.5" x14ac:dyDescent="0.35">
      <c r="A75" s="144" t="s">
        <v>41</v>
      </c>
      <c r="B75" s="39" t="s">
        <v>78</v>
      </c>
      <c r="C75" s="39" t="s">
        <v>81</v>
      </c>
      <c r="D75" s="39" t="s">
        <v>110</v>
      </c>
      <c r="E75" s="33" t="str">
        <f>'Purchased Products'!A16</f>
        <v>Bottle Transport by Third Party</v>
      </c>
      <c r="F75" s="40">
        <f>'Purchased Products'!B16</f>
        <v>0</v>
      </c>
      <c r="G75" s="423" t="e">
        <f>Table15[[#This Row],[CO2mte]]/IF('GHG Emissons Breakdown'!$F$14="Market-Based",Summary!$F$126,IF('GHG Emissons Breakdown'!$F$14="Location-Based",Summary!$F$125,FALSE))</f>
        <v>#DIV/0!</v>
      </c>
      <c r="I75" s="94"/>
      <c r="J75" s="475"/>
      <c r="K75" s="476"/>
      <c r="L75" s="477"/>
      <c r="M75" s="477"/>
    </row>
    <row r="76" spans="1:13" ht="19" thickBot="1" x14ac:dyDescent="0.5">
      <c r="B76" s="111" t="s">
        <v>125</v>
      </c>
      <c r="C76" s="102" t="s">
        <v>126</v>
      </c>
      <c r="D76" s="102"/>
      <c r="E76" s="125" t="s">
        <v>127</v>
      </c>
      <c r="F76" s="100"/>
      <c r="G76" s="101"/>
      <c r="I76" s="94"/>
      <c r="J76" s="475"/>
      <c r="K76" s="476"/>
      <c r="L76" s="477"/>
      <c r="M76" s="477"/>
    </row>
    <row r="77" spans="1:13" ht="16" thickBot="1" x14ac:dyDescent="0.4">
      <c r="A77" s="144" t="s">
        <v>41</v>
      </c>
      <c r="B77" s="39" t="s">
        <v>125</v>
      </c>
      <c r="C77" s="39" t="s">
        <v>126</v>
      </c>
      <c r="D77" s="120" t="s">
        <v>81</v>
      </c>
      <c r="E77" s="31" t="s">
        <v>128</v>
      </c>
      <c r="F77" s="40">
        <f>SUM(F78:F81)</f>
        <v>0</v>
      </c>
      <c r="G77" s="423" t="e">
        <f>Table15[[#This Row],[CO2mte]]/IF('GHG Emissons Breakdown'!$F$14="Market-Based",Summary!$F$126,IF('GHG Emissons Breakdown'!$F$14="Location-Based",Summary!$F$125,FALSE))</f>
        <v>#DIV/0!</v>
      </c>
      <c r="H77" s="23"/>
      <c r="I77" s="94"/>
      <c r="J77" s="475"/>
      <c r="L77" s="467" t="s">
        <v>131</v>
      </c>
      <c r="M77" s="468" t="s">
        <v>132</v>
      </c>
    </row>
    <row r="78" spans="1:13" x14ac:dyDescent="0.35">
      <c r="A78" s="144" t="s">
        <v>41</v>
      </c>
      <c r="B78" s="39" t="s">
        <v>125</v>
      </c>
      <c r="C78" s="39" t="s">
        <v>126</v>
      </c>
      <c r="D78" s="119" t="s">
        <v>81</v>
      </c>
      <c r="E78" s="32" t="s">
        <v>129</v>
      </c>
      <c r="F78" s="41">
        <f>'Offsite Waste'!B7</f>
        <v>0</v>
      </c>
      <c r="G78" s="131" t="e">
        <f>Table15[[#This Row],[CO2mte]]/IF('GHG Emissons Breakdown'!$F$14="Market-Based",Summary!$F$126,IF('GHG Emissons Breakdown'!$F$14="Location-Based",Summary!$F$125,FALSE))</f>
        <v>#DIV/0!</v>
      </c>
      <c r="K78" s="469" t="s">
        <v>39</v>
      </c>
      <c r="L78" s="470">
        <f>SUM(L2:L17)</f>
        <v>0</v>
      </c>
      <c r="M78" s="470">
        <f>SUM(M2:M17)</f>
        <v>0</v>
      </c>
    </row>
    <row r="79" spans="1:13" x14ac:dyDescent="0.35">
      <c r="A79" s="144" t="s">
        <v>41</v>
      </c>
      <c r="B79" s="39" t="s">
        <v>125</v>
      </c>
      <c r="C79" s="39" t="s">
        <v>126</v>
      </c>
      <c r="D79" s="120" t="s">
        <v>81</v>
      </c>
      <c r="E79" s="32" t="s">
        <v>130</v>
      </c>
      <c r="F79" s="41">
        <f>'Offsite Waste'!B5</f>
        <v>0</v>
      </c>
      <c r="G79" s="132" t="e">
        <f>Table15[[#This Row],[CO2mte]]/IF('GHG Emissons Breakdown'!$F$14="Market-Based",Summary!$F$126,IF('GHG Emissons Breakdown'!$F$14="Location-Based",Summary!$F$125,FALSE))</f>
        <v>#DIV/0!</v>
      </c>
      <c r="K79" s="448" t="s">
        <v>65</v>
      </c>
      <c r="L79" s="471">
        <f>SUM(L18)</f>
        <v>0</v>
      </c>
      <c r="M79" s="471">
        <f>SUM(M18)</f>
        <v>0</v>
      </c>
    </row>
    <row r="80" spans="1:13" x14ac:dyDescent="0.35">
      <c r="A80" s="144" t="s">
        <v>41</v>
      </c>
      <c r="B80" s="39" t="s">
        <v>125</v>
      </c>
      <c r="C80" s="39" t="s">
        <v>126</v>
      </c>
      <c r="D80" s="119" t="s">
        <v>81</v>
      </c>
      <c r="E80" s="32" t="s">
        <v>133</v>
      </c>
      <c r="F80" s="41">
        <f>'Offsite Waste'!B6</f>
        <v>0</v>
      </c>
      <c r="G80" s="131" t="e">
        <f>Table15[[#This Row],[CO2mte]]/IF('GHG Emissons Breakdown'!$F$14="Market-Based",Summary!$F$126,IF('GHG Emissons Breakdown'!$F$14="Location-Based",Summary!$F$125,FALSE))</f>
        <v>#DIV/0!</v>
      </c>
      <c r="K80" s="452" t="s">
        <v>68</v>
      </c>
      <c r="L80" s="472">
        <f>SUM(L19:L74)</f>
        <v>0</v>
      </c>
      <c r="M80" s="472">
        <f>SUM(M19:M74)</f>
        <v>0</v>
      </c>
    </row>
    <row r="81" spans="1:13" x14ac:dyDescent="0.35">
      <c r="A81" s="144" t="s">
        <v>41</v>
      </c>
      <c r="B81" s="39" t="s">
        <v>125</v>
      </c>
      <c r="C81" s="39" t="s">
        <v>126</v>
      </c>
      <c r="D81" s="120" t="s">
        <v>81</v>
      </c>
      <c r="E81" s="32" t="s">
        <v>134</v>
      </c>
      <c r="F81" s="41">
        <f>'Offsite Waste'!B4</f>
        <v>0</v>
      </c>
      <c r="G81" s="132" t="e">
        <f>Table15[[#This Row],[CO2mte]]/IF('GHG Emissons Breakdown'!$F$14="Market-Based",Summary!$F$126,IF('GHG Emissons Breakdown'!$F$14="Location-Based",Summary!$F$125,FALSE))</f>
        <v>#DIV/0!</v>
      </c>
      <c r="H81" s="51"/>
      <c r="K81" s="473" t="s">
        <v>136</v>
      </c>
      <c r="L81" s="474">
        <f>SUM(L78:L80)</f>
        <v>0</v>
      </c>
      <c r="M81" s="474">
        <f>SUM(M78:M80)</f>
        <v>0</v>
      </c>
    </row>
    <row r="82" spans="1:13" ht="18.5" x14ac:dyDescent="0.45">
      <c r="B82" s="111" t="s">
        <v>125</v>
      </c>
      <c r="C82" s="102" t="s">
        <v>135</v>
      </c>
      <c r="D82" s="102"/>
      <c r="E82" s="125" t="s">
        <v>113</v>
      </c>
      <c r="F82" s="100"/>
      <c r="G82" s="101"/>
      <c r="H82" s="51"/>
    </row>
    <row r="83" spans="1:13" ht="15.5" x14ac:dyDescent="0.35">
      <c r="A83" s="144" t="s">
        <v>41</v>
      </c>
      <c r="B83" s="39" t="s">
        <v>125</v>
      </c>
      <c r="C83" s="39" t="s">
        <v>135</v>
      </c>
      <c r="D83" s="39" t="s">
        <v>110</v>
      </c>
      <c r="E83" s="31" t="s">
        <v>113</v>
      </c>
      <c r="F83" s="40">
        <f>SUM(F84:F89)</f>
        <v>0</v>
      </c>
      <c r="G83" s="627" t="e">
        <f>Table15[[#This Row],[CO2mte]]/IF('GHG Emissons Breakdown'!$F$14="Market-Based",Summary!$F$126,IF('GHG Emissons Breakdown'!$F$14="Location-Based",Summary!$F$125,FALSE))</f>
        <v>#DIV/0!</v>
      </c>
      <c r="H83" s="51"/>
    </row>
    <row r="84" spans="1:13" x14ac:dyDescent="0.35">
      <c r="A84" s="144" t="s">
        <v>41</v>
      </c>
      <c r="B84" s="39" t="s">
        <v>125</v>
      </c>
      <c r="C84" s="39" t="s">
        <v>135</v>
      </c>
      <c r="D84" s="39" t="s">
        <v>110</v>
      </c>
      <c r="E84" s="32" t="s">
        <v>137</v>
      </c>
      <c r="F84" s="41">
        <f>'Business Travel'!B4</f>
        <v>0</v>
      </c>
      <c r="G84" s="132" t="e">
        <f>Table15[[#This Row],[CO2mte]]/IF('GHG Emissons Breakdown'!$F$14="Market-Based",Summary!$F$126,IF('GHG Emissons Breakdown'!$F$14="Location-Based",Summary!$F$125,FALSE))</f>
        <v>#DIV/0!</v>
      </c>
    </row>
    <row r="85" spans="1:13" x14ac:dyDescent="0.35">
      <c r="A85" s="144" t="s">
        <v>41</v>
      </c>
      <c r="B85" s="39" t="s">
        <v>125</v>
      </c>
      <c r="C85" s="39" t="s">
        <v>135</v>
      </c>
      <c r="D85" s="39" t="s">
        <v>110</v>
      </c>
      <c r="E85" s="32" t="s">
        <v>138</v>
      </c>
      <c r="F85" s="41">
        <f>'Business Travel'!B5</f>
        <v>0</v>
      </c>
      <c r="G85" s="131" t="e">
        <f>Table15[[#This Row],[CO2mte]]/IF('GHG Emissons Breakdown'!$F$14="Market-Based",Summary!$F$126,IF('GHG Emissons Breakdown'!$F$14="Location-Based",Summary!$F$125,FALSE))</f>
        <v>#DIV/0!</v>
      </c>
    </row>
    <row r="86" spans="1:13" x14ac:dyDescent="0.35">
      <c r="A86" s="144" t="s">
        <v>41</v>
      </c>
      <c r="B86" s="39" t="s">
        <v>125</v>
      </c>
      <c r="C86" s="39" t="s">
        <v>135</v>
      </c>
      <c r="D86" s="39" t="s">
        <v>110</v>
      </c>
      <c r="E86" s="32" t="s">
        <v>139</v>
      </c>
      <c r="F86" s="41">
        <f>'Business Travel'!B6</f>
        <v>0</v>
      </c>
      <c r="G86" s="132" t="e">
        <f>Table15[[#This Row],[CO2mte]]/IF('GHG Emissons Breakdown'!$F$14="Market-Based",Summary!$F$126,IF('GHG Emissons Breakdown'!$F$14="Location-Based",Summary!$F$125,FALSE))</f>
        <v>#DIV/0!</v>
      </c>
    </row>
    <row r="87" spans="1:13" x14ac:dyDescent="0.35">
      <c r="A87" s="144" t="s">
        <v>41</v>
      </c>
      <c r="B87" s="39" t="s">
        <v>125</v>
      </c>
      <c r="C87" s="39" t="s">
        <v>135</v>
      </c>
      <c r="D87" s="39" t="s">
        <v>110</v>
      </c>
      <c r="E87" s="32" t="s">
        <v>140</v>
      </c>
      <c r="F87" s="41">
        <f>'Business Travel'!B7</f>
        <v>0</v>
      </c>
      <c r="G87" s="131" t="e">
        <f>Table15[[#This Row],[CO2mte]]/IF('GHG Emissons Breakdown'!$F$14="Market-Based",Summary!$F$126,IF('GHG Emissons Breakdown'!$F$14="Location-Based",Summary!$F$125,FALSE))</f>
        <v>#DIV/0!</v>
      </c>
    </row>
    <row r="88" spans="1:13" x14ac:dyDescent="0.35">
      <c r="A88" s="144" t="s">
        <v>41</v>
      </c>
      <c r="B88" s="39" t="s">
        <v>125</v>
      </c>
      <c r="C88" s="39" t="s">
        <v>135</v>
      </c>
      <c r="D88" s="39" t="s">
        <v>110</v>
      </c>
      <c r="E88" s="32" t="s">
        <v>141</v>
      </c>
      <c r="F88" s="41">
        <f>'Business Travel'!B8</f>
        <v>0</v>
      </c>
      <c r="G88" s="132" t="e">
        <f>Table15[[#This Row],[CO2mte]]/IF('GHG Emissons Breakdown'!$F$14="Market-Based",Summary!$F$126,IF('GHG Emissons Breakdown'!$F$14="Location-Based",Summary!$F$125,FALSE))</f>
        <v>#DIV/0!</v>
      </c>
    </row>
    <row r="89" spans="1:13" x14ac:dyDescent="0.35">
      <c r="A89" s="144"/>
      <c r="B89" s="39" t="s">
        <v>125</v>
      </c>
      <c r="C89" s="39" t="s">
        <v>135</v>
      </c>
      <c r="D89" s="39" t="s">
        <v>110</v>
      </c>
      <c r="E89" s="32" t="s">
        <v>1845</v>
      </c>
      <c r="F89" s="41">
        <f>'Business Travel'!B9</f>
        <v>0</v>
      </c>
      <c r="G89" s="131" t="e">
        <f>Table15[[#This Row],[CO2mte]]/IF('GHG Emissons Breakdown'!$F$14="Market-Based",Summary!$F$126,IF('GHG Emissons Breakdown'!$F$14="Location-Based",Summary!$F$125,FALSE))</f>
        <v>#DIV/0!</v>
      </c>
    </row>
    <row r="90" spans="1:13" ht="18.5" x14ac:dyDescent="0.45">
      <c r="B90" s="111" t="s">
        <v>125</v>
      </c>
      <c r="C90" s="102" t="s">
        <v>142</v>
      </c>
      <c r="D90" s="102"/>
      <c r="E90" s="125" t="s">
        <v>117</v>
      </c>
      <c r="F90" s="100"/>
      <c r="G90" s="101"/>
    </row>
    <row r="91" spans="1:13" ht="15.5" x14ac:dyDescent="0.35">
      <c r="A91" s="144" t="s">
        <v>41</v>
      </c>
      <c r="B91" s="39" t="s">
        <v>125</v>
      </c>
      <c r="C91" s="39" t="s">
        <v>142</v>
      </c>
      <c r="D91" s="39" t="s">
        <v>110</v>
      </c>
      <c r="E91" s="31" t="s">
        <v>143</v>
      </c>
      <c r="F91" s="40">
        <f>'Employee Commuting'!B7</f>
        <v>0</v>
      </c>
      <c r="G91" s="96" t="e">
        <f>Table15[[#This Row],[CO2mte]]/F126</f>
        <v>#DIV/0!</v>
      </c>
    </row>
    <row r="92" spans="1:13" ht="18.5" x14ac:dyDescent="0.45">
      <c r="B92" s="111" t="s">
        <v>78</v>
      </c>
      <c r="C92" s="102" t="s">
        <v>144</v>
      </c>
      <c r="D92" s="102"/>
      <c r="E92" s="125" t="s">
        <v>145</v>
      </c>
      <c r="F92" s="100"/>
      <c r="G92" s="101"/>
    </row>
    <row r="93" spans="1:13" ht="15.5" x14ac:dyDescent="0.35">
      <c r="A93" s="144" t="s">
        <v>41</v>
      </c>
      <c r="B93" s="120" t="s">
        <v>78</v>
      </c>
      <c r="C93" s="120" t="s">
        <v>144</v>
      </c>
      <c r="D93" s="120" t="s">
        <v>81</v>
      </c>
      <c r="E93" s="31" t="s">
        <v>145</v>
      </c>
      <c r="F93" s="121" t="s">
        <v>146</v>
      </c>
      <c r="G93" s="134" t="s">
        <v>146</v>
      </c>
    </row>
    <row r="94" spans="1:13" ht="32" x14ac:dyDescent="0.45">
      <c r="B94" s="111" t="s">
        <v>147</v>
      </c>
      <c r="C94" s="102" t="s">
        <v>148</v>
      </c>
      <c r="D94" s="102"/>
      <c r="E94" s="125" t="s">
        <v>149</v>
      </c>
      <c r="F94" s="100"/>
      <c r="G94" s="101"/>
    </row>
    <row r="95" spans="1:13" ht="15.5" x14ac:dyDescent="0.35">
      <c r="A95" s="144" t="s">
        <v>41</v>
      </c>
      <c r="B95" s="39" t="s">
        <v>147</v>
      </c>
      <c r="C95" s="39" t="s">
        <v>148</v>
      </c>
      <c r="D95" s="39" t="s">
        <v>110</v>
      </c>
      <c r="E95" s="31" t="s">
        <v>121</v>
      </c>
      <c r="F95" s="40">
        <f>SUM(F96:F97)</f>
        <v>0</v>
      </c>
      <c r="G95" s="130" t="e">
        <f>Table15[[#This Row],[CO2mte]]/IF('GHG Emissons Breakdown'!$F$14="Market-Based",Summary!$F$126,IF('GHG Emissons Breakdown'!$F$14="Location-Based",Summary!$F$125,FALSE))</f>
        <v>#DIV/0!</v>
      </c>
    </row>
    <row r="96" spans="1:13" x14ac:dyDescent="0.35">
      <c r="A96" s="144" t="s">
        <v>41</v>
      </c>
      <c r="B96" s="39" t="s">
        <v>147</v>
      </c>
      <c r="C96" s="39" t="s">
        <v>148</v>
      </c>
      <c r="D96" s="39" t="s">
        <v>110</v>
      </c>
      <c r="E96" s="32" t="s">
        <v>150</v>
      </c>
      <c r="F96" s="41">
        <f>SUM('Product Transport'!B5,'Product Transport'!B10,'Product Transport'!B8,'Product Transport'!B9)</f>
        <v>0</v>
      </c>
      <c r="G96" s="132" t="e">
        <f>Table15[[#This Row],[CO2mte]]/IF('GHG Emissons Breakdown'!$F$14="Market-Based",Summary!$F$126,IF('GHG Emissons Breakdown'!$F$14="Location-Based",Summary!$F$125,FALSE))</f>
        <v>#DIV/0!</v>
      </c>
    </row>
    <row r="97" spans="1:7" ht="15.5" x14ac:dyDescent="0.35">
      <c r="A97" s="144" t="s">
        <v>41</v>
      </c>
      <c r="B97" s="39" t="s">
        <v>147</v>
      </c>
      <c r="C97" s="39" t="s">
        <v>148</v>
      </c>
      <c r="D97" s="39" t="s">
        <v>110</v>
      </c>
      <c r="E97" s="32" t="s">
        <v>151</v>
      </c>
      <c r="F97" s="41">
        <f>'Product Transport'!B6</f>
        <v>0</v>
      </c>
      <c r="G97" s="422" t="e">
        <f>Table15[[#This Row],[CO2mte]]/IF('GHG Emissons Breakdown'!$F$14="Market-Based",Summary!$F$126,IF('GHG Emissons Breakdown'!$F$14="Location-Based",Summary!$F$125,FALSE))</f>
        <v>#DIV/0!</v>
      </c>
    </row>
    <row r="98" spans="1:7" ht="18.5" x14ac:dyDescent="0.45">
      <c r="B98" s="111" t="s">
        <v>147</v>
      </c>
      <c r="C98" s="102" t="s">
        <v>148</v>
      </c>
      <c r="D98" s="102"/>
      <c r="E98" s="125" t="s">
        <v>152</v>
      </c>
      <c r="F98" s="100"/>
      <c r="G98" s="101"/>
    </row>
    <row r="99" spans="1:7" ht="15.5" x14ac:dyDescent="0.35">
      <c r="A99" s="144" t="s">
        <v>41</v>
      </c>
      <c r="B99" s="119" t="s">
        <v>147</v>
      </c>
      <c r="C99" s="119" t="s">
        <v>148</v>
      </c>
      <c r="D99" s="119" t="s">
        <v>126</v>
      </c>
      <c r="E99" s="31" t="s">
        <v>153</v>
      </c>
      <c r="F99" s="40">
        <f>SUM('Wine Storage Energy'!B5:B6)</f>
        <v>0</v>
      </c>
      <c r="G99" s="130" t="e">
        <f>Table15[[#This Row],[CO2mte]]/IF('GHG Emissons Breakdown'!$F$14="Market-Based",Summary!$F$126,IF('GHG Emissons Breakdown'!$F$14="Location-Based",Summary!$F$125,FALSE))</f>
        <v>#DIV/0!</v>
      </c>
    </row>
    <row r="100" spans="1:7" ht="18.5" x14ac:dyDescent="0.45">
      <c r="B100" s="111" t="s">
        <v>147</v>
      </c>
      <c r="C100" s="102" t="s">
        <v>154</v>
      </c>
      <c r="D100" s="102"/>
      <c r="E100" s="125" t="s">
        <v>155</v>
      </c>
      <c r="F100" s="100"/>
      <c r="G100" s="101"/>
    </row>
    <row r="101" spans="1:7" ht="15.5" x14ac:dyDescent="0.35">
      <c r="A101" s="144" t="s">
        <v>41</v>
      </c>
      <c r="B101" s="39" t="s">
        <v>147</v>
      </c>
      <c r="C101" s="39" t="s">
        <v>154</v>
      </c>
      <c r="D101" s="39" t="s">
        <v>126</v>
      </c>
      <c r="E101" s="31" t="s">
        <v>156</v>
      </c>
      <c r="F101" s="40">
        <f>'Wine Storage Energy'!B7</f>
        <v>0</v>
      </c>
      <c r="G101" s="130" t="e">
        <f>Table15[[#This Row],[CO2mte]]/IF('GHG Emissons Breakdown'!$F$14="Market-Based",Summary!$F$126,IF('GHG Emissons Breakdown'!$F$14="Location-Based",Summary!$F$125,FALSE))</f>
        <v>#DIV/0!</v>
      </c>
    </row>
    <row r="102" spans="1:7" ht="18.5" x14ac:dyDescent="0.45">
      <c r="A102" s="144"/>
      <c r="B102" s="111" t="s">
        <v>147</v>
      </c>
      <c r="C102" s="102" t="s">
        <v>157</v>
      </c>
      <c r="D102" s="102"/>
      <c r="E102" s="125" t="s">
        <v>158</v>
      </c>
      <c r="F102" s="100"/>
      <c r="G102" s="101"/>
    </row>
    <row r="103" spans="1:7" ht="15.5" x14ac:dyDescent="0.35">
      <c r="A103" s="144" t="s">
        <v>41</v>
      </c>
      <c r="B103" s="119" t="s">
        <v>147</v>
      </c>
      <c r="C103" s="119" t="s">
        <v>157</v>
      </c>
      <c r="D103" s="119" t="s">
        <v>126</v>
      </c>
      <c r="E103" s="31" t="s">
        <v>124</v>
      </c>
      <c r="F103" s="123">
        <f>SUM(F104:F105)</f>
        <v>0</v>
      </c>
      <c r="G103" s="130" t="e">
        <f>Table15[[#This Row],[CO2mte]]/IF('GHG Emissons Breakdown'!$F$14="Market-Based",Summary!$F$126,IF('GHG Emissons Breakdown'!$F$14="Location-Based",Summary!$F$125,FALSE))</f>
        <v>#DIV/0!</v>
      </c>
    </row>
    <row r="104" spans="1:7" x14ac:dyDescent="0.35">
      <c r="A104" s="144" t="s">
        <v>41</v>
      </c>
      <c r="B104" s="120" t="s">
        <v>147</v>
      </c>
      <c r="C104" s="120" t="s">
        <v>157</v>
      </c>
      <c r="D104" s="120" t="s">
        <v>126</v>
      </c>
      <c r="E104" s="32" t="s">
        <v>159</v>
      </c>
      <c r="F104" s="122">
        <f>'Post Consumer Waste'!B5</f>
        <v>0</v>
      </c>
      <c r="G104" s="132" t="e">
        <f>Table15[[#This Row],[CO2mte]]/IF('GHG Emissons Breakdown'!$F$14="Market-Based",Summary!$F$126,IF('GHG Emissons Breakdown'!$F$14="Location-Based",Summary!$F$125,FALSE))</f>
        <v>#DIV/0!</v>
      </c>
    </row>
    <row r="105" spans="1:7" ht="15.5" x14ac:dyDescent="0.35">
      <c r="A105" s="144" t="s">
        <v>41</v>
      </c>
      <c r="B105" s="119" t="s">
        <v>147</v>
      </c>
      <c r="C105" s="119" t="s">
        <v>157</v>
      </c>
      <c r="D105" s="119" t="s">
        <v>126</v>
      </c>
      <c r="E105" s="32" t="s">
        <v>160</v>
      </c>
      <c r="F105" s="124">
        <f>'Post Consumer Waste'!B6</f>
        <v>0</v>
      </c>
      <c r="G105" s="422" t="e">
        <f>Table15[[#This Row],[CO2mte]]/IF('GHG Emissons Breakdown'!$F$14="Market-Based",Summary!$F$126,IF('GHG Emissons Breakdown'!$F$14="Location-Based",Summary!$F$125,FALSE))</f>
        <v>#DIV/0!</v>
      </c>
    </row>
    <row r="106" spans="1:7" ht="18.5" x14ac:dyDescent="0.45">
      <c r="B106" s="111" t="s">
        <v>147</v>
      </c>
      <c r="C106" s="102" t="s">
        <v>161</v>
      </c>
      <c r="D106" s="102"/>
      <c r="E106" s="125" t="s">
        <v>162</v>
      </c>
      <c r="F106" s="100"/>
      <c r="G106" s="101"/>
    </row>
    <row r="107" spans="1:7" ht="15.5" x14ac:dyDescent="0.35">
      <c r="A107" s="143" t="s">
        <v>80</v>
      </c>
      <c r="B107" s="39" t="s">
        <v>147</v>
      </c>
      <c r="C107" s="39" t="s">
        <v>161</v>
      </c>
      <c r="D107" s="39" t="s">
        <v>126</v>
      </c>
      <c r="E107" s="31" t="s">
        <v>162</v>
      </c>
      <c r="F107" s="40" t="s">
        <v>146</v>
      </c>
      <c r="G107" s="96" t="s">
        <v>146</v>
      </c>
    </row>
    <row r="108" spans="1:7" ht="18.5" x14ac:dyDescent="0.45">
      <c r="B108" s="111" t="s">
        <v>163</v>
      </c>
      <c r="C108" s="102" t="s">
        <v>164</v>
      </c>
      <c r="D108" s="102"/>
      <c r="E108" s="125" t="s">
        <v>163</v>
      </c>
      <c r="F108" s="100"/>
      <c r="G108" s="101"/>
    </row>
    <row r="109" spans="1:7" ht="15.5" x14ac:dyDescent="0.35">
      <c r="A109" s="143" t="s">
        <v>80</v>
      </c>
      <c r="B109" s="119" t="s">
        <v>163</v>
      </c>
      <c r="C109" s="119" t="s">
        <v>164</v>
      </c>
      <c r="D109" s="119" t="s">
        <v>126</v>
      </c>
      <c r="E109" s="31" t="s">
        <v>163</v>
      </c>
      <c r="F109" s="123" t="s">
        <v>146</v>
      </c>
      <c r="G109" s="130" t="s">
        <v>146</v>
      </c>
    </row>
    <row r="110" spans="1:7" ht="18.5" x14ac:dyDescent="0.45">
      <c r="B110" s="111" t="s">
        <v>165</v>
      </c>
      <c r="C110" s="102" t="s">
        <v>166</v>
      </c>
      <c r="D110" s="102"/>
      <c r="E110" s="125" t="s">
        <v>165</v>
      </c>
      <c r="F110" s="100"/>
      <c r="G110" s="101"/>
    </row>
    <row r="111" spans="1:7" ht="15.5" x14ac:dyDescent="0.35">
      <c r="A111" s="143" t="s">
        <v>80</v>
      </c>
      <c r="B111" s="39" t="s">
        <v>165</v>
      </c>
      <c r="C111" s="39" t="s">
        <v>166</v>
      </c>
      <c r="D111" s="39" t="s">
        <v>126</v>
      </c>
      <c r="E111" s="31" t="s">
        <v>165</v>
      </c>
      <c r="F111" s="40" t="s">
        <v>146</v>
      </c>
      <c r="G111" s="96" t="s">
        <v>146</v>
      </c>
    </row>
    <row r="112" spans="1:7" ht="18.5" x14ac:dyDescent="0.45">
      <c r="A112" s="143"/>
      <c r="B112" s="111" t="s">
        <v>125</v>
      </c>
      <c r="C112" s="102" t="s">
        <v>167</v>
      </c>
      <c r="D112" s="102"/>
      <c r="E112" s="125" t="s">
        <v>125</v>
      </c>
      <c r="F112" s="100"/>
      <c r="G112" s="101"/>
    </row>
    <row r="113" spans="1:9" ht="15.5" x14ac:dyDescent="0.35">
      <c r="A113" s="144" t="s">
        <v>41</v>
      </c>
      <c r="B113" s="39" t="s">
        <v>125</v>
      </c>
      <c r="C113" s="39" t="s">
        <v>167</v>
      </c>
      <c r="D113" s="39" t="s">
        <v>110</v>
      </c>
      <c r="E113" s="33" t="s">
        <v>119</v>
      </c>
      <c r="F113" s="123">
        <f>'Tasting Room Traffic'!B5</f>
        <v>0</v>
      </c>
      <c r="G113" s="130" t="e">
        <f>Table15[[#This Row],[CO2mte]]/IF('GHG Emissons Breakdown'!$F$14="Market-Based",Summary!$F$126,IF('GHG Emissons Breakdown'!$F$14="Location-Based",Summary!$F$125,FALSE))</f>
        <v>#DIV/0!</v>
      </c>
    </row>
    <row r="114" spans="1:9" ht="15.5" x14ac:dyDescent="0.35">
      <c r="A114" s="143" t="s">
        <v>80</v>
      </c>
      <c r="B114" s="39" t="s">
        <v>168</v>
      </c>
      <c r="C114" s="39" t="s">
        <v>169</v>
      </c>
      <c r="D114" s="417"/>
      <c r="E114" s="36" t="s">
        <v>170</v>
      </c>
      <c r="F114" s="40">
        <f>Winemaking!B4</f>
        <v>0</v>
      </c>
      <c r="G114" s="134" t="e">
        <f>Table15[[#This Row],[CO2mte]]/IF('GHG Emissons Breakdown'!$F$14="Market-Based",Summary!$F$126,IF('GHG Emissons Breakdown'!$F$14="Location-Based",Summary!$F$125,FALSE))</f>
        <v>#DIV/0!</v>
      </c>
    </row>
    <row r="115" spans="1:9" ht="15.5" x14ac:dyDescent="0.35">
      <c r="A115" s="143" t="s">
        <v>80</v>
      </c>
      <c r="B115" s="39" t="s">
        <v>168</v>
      </c>
      <c r="C115" s="39" t="s">
        <v>171</v>
      </c>
      <c r="D115" s="417"/>
      <c r="E115" s="36" t="s">
        <v>172</v>
      </c>
      <c r="F115" s="40">
        <f>'Vineyard - Biomass Photosynth'!D5</f>
        <v>0</v>
      </c>
      <c r="G115" s="130" t="e">
        <f>Table15[[#This Row],[CO2mte]]/IF('GHG Emissons Breakdown'!$F$14="Market-Based",Summary!$F$126,IF('GHG Emissons Breakdown'!$F$14="Location-Based",Summary!$F$125,FALSE))</f>
        <v>#DIV/0!</v>
      </c>
    </row>
    <row r="116" spans="1:9" ht="15.5" x14ac:dyDescent="0.35">
      <c r="A116" s="143" t="s">
        <v>80</v>
      </c>
      <c r="B116" s="39" t="s">
        <v>168</v>
      </c>
      <c r="C116" s="39" t="s">
        <v>173</v>
      </c>
      <c r="D116" s="417"/>
      <c r="E116" s="37" t="s">
        <v>174</v>
      </c>
      <c r="F116" s="40">
        <f>'Vineyard - Row Cropping'!A5</f>
        <v>0</v>
      </c>
      <c r="G116" s="134" t="e">
        <f>Table15[[#This Row],[CO2mte]]/IF('GHG Emissons Breakdown'!$F$14="Market-Based",Summary!$F$126,IF('GHG Emissons Breakdown'!$F$14="Location-Based",Summary!$F$125,FALSE))</f>
        <v>#DIV/0!</v>
      </c>
    </row>
    <row r="117" spans="1:9" ht="15.5" x14ac:dyDescent="0.35">
      <c r="A117" s="143" t="s">
        <v>80</v>
      </c>
      <c r="B117" s="39" t="s">
        <v>168</v>
      </c>
      <c r="C117" s="39" t="s">
        <v>175</v>
      </c>
      <c r="D117" s="417"/>
      <c r="E117" s="36" t="s">
        <v>175</v>
      </c>
      <c r="F117" s="40">
        <f>'Compost Application'!B5</f>
        <v>0</v>
      </c>
      <c r="G117" s="130" t="e">
        <f>Table15[[#This Row],[CO2mte]]/IF('GHG Emissons Breakdown'!$F$14="Market-Based",Summary!$F$126,IF('GHG Emissons Breakdown'!$F$14="Location-Based",Summary!$F$125,FALSE))</f>
        <v>#DIV/0!</v>
      </c>
    </row>
    <row r="118" spans="1:9" ht="15.5" x14ac:dyDescent="0.35">
      <c r="A118" s="143" t="s">
        <v>80</v>
      </c>
      <c r="B118" s="39" t="s">
        <v>168</v>
      </c>
      <c r="C118" s="39" t="s">
        <v>168</v>
      </c>
      <c r="D118" s="417"/>
      <c r="E118" s="44" t="s">
        <v>176</v>
      </c>
      <c r="F118" s="45">
        <f>SUM(F114:F117)</f>
        <v>0</v>
      </c>
      <c r="G118" s="424" t="e">
        <f>Table15[[#This Row],[CO2mte]]/IF('GHG Emissons Breakdown'!$F$14="Market-Based",Summary!$F$126,IF('GHG Emissons Breakdown'!$F$14="Location-Based",Summary!$F$125,FALSE))</f>
        <v>#DIV/0!</v>
      </c>
    </row>
    <row r="119" spans="1:9" ht="15.5" x14ac:dyDescent="0.35">
      <c r="A119" s="144" t="s">
        <v>41</v>
      </c>
      <c r="B119" s="39" t="s">
        <v>177</v>
      </c>
      <c r="C119" s="39" t="s">
        <v>177</v>
      </c>
      <c r="D119" s="417"/>
      <c r="E119" s="44" t="s">
        <v>178</v>
      </c>
      <c r="F119" s="45">
        <f>'Biomass Burning'!B5</f>
        <v>0</v>
      </c>
      <c r="G119" s="424" t="e">
        <f>Table15[[#This Row],[CO2mte]]/IF('GHG Emissons Breakdown'!$F$14="Market-Based",Summary!$F$126,IF('GHG Emissons Breakdown'!$F$14="Location-Based",Summary!$F$125,FALSE))</f>
        <v>#DIV/0!</v>
      </c>
    </row>
    <row r="120" spans="1:9" ht="14.25" customHeight="1" x14ac:dyDescent="0.35">
      <c r="B120" s="39" t="s">
        <v>179</v>
      </c>
      <c r="C120" s="39" t="s">
        <v>39</v>
      </c>
      <c r="D120" s="417"/>
      <c r="E120" s="38" t="s">
        <v>180</v>
      </c>
      <c r="F120" s="46">
        <f>SUM(F3,F8,F14,F17,F22,F23, F24,F25)</f>
        <v>0</v>
      </c>
      <c r="G120" s="134" t="e">
        <f>Table15[[#This Row],[CO2mte]]/IF('GHG Emissons Breakdown'!$F$14="Market-Based",Summary!$F$126,IF('GHG Emissons Breakdown'!$F$14="Location-Based",Summary!$F$125,FALSE))</f>
        <v>#DIV/0!</v>
      </c>
    </row>
    <row r="121" spans="1:9" s="7" customFormat="1" ht="15.5" x14ac:dyDescent="0.35">
      <c r="B121" s="39" t="s">
        <v>179</v>
      </c>
      <c r="C121" s="39" t="s">
        <v>181</v>
      </c>
      <c r="D121" s="417"/>
      <c r="E121" s="38" t="s">
        <v>182</v>
      </c>
      <c r="F121" s="46">
        <f>F27</f>
        <v>0</v>
      </c>
      <c r="G121" s="96" t="e">
        <f>Table15[[#This Row],[CO2mte]]/$F$125</f>
        <v>#DIV/0!</v>
      </c>
    </row>
    <row r="122" spans="1:9" ht="15.5" x14ac:dyDescent="0.35">
      <c r="B122" s="39" t="s">
        <v>179</v>
      </c>
      <c r="C122" s="39" t="s">
        <v>183</v>
      </c>
      <c r="D122" s="417"/>
      <c r="E122" s="38" t="s">
        <v>184</v>
      </c>
      <c r="F122" s="46">
        <f>F28</f>
        <v>0</v>
      </c>
      <c r="G122" s="96" t="e">
        <f>Table15[[#This Row],[CO2mte]]/$F$126</f>
        <v>#DIV/0!</v>
      </c>
    </row>
    <row r="123" spans="1:9" ht="15.5" x14ac:dyDescent="0.35">
      <c r="B123" s="39" t="s">
        <v>179</v>
      </c>
      <c r="C123" s="39" t="s">
        <v>185</v>
      </c>
      <c r="D123" s="417"/>
      <c r="E123" s="38" t="s">
        <v>186</v>
      </c>
      <c r="F123" s="46">
        <f>SUM(F31:F32,F48,F64,F69,F72:F75,F77,F83,F113,F91,F95,F99,F101,F103,F62)</f>
        <v>0</v>
      </c>
      <c r="G123" s="96" t="e">
        <f>Table15[[#This Row],[CO2mte]]/$F$125</f>
        <v>#DIV/0!</v>
      </c>
    </row>
    <row r="124" spans="1:9" ht="15.5" x14ac:dyDescent="0.35">
      <c r="B124" s="39" t="s">
        <v>179</v>
      </c>
      <c r="C124" s="39" t="s">
        <v>187</v>
      </c>
      <c r="D124" s="417"/>
      <c r="E124" s="38" t="s">
        <v>188</v>
      </c>
      <c r="F124" s="364">
        <f>SUM(F31:F32,F48,F64,F70,F72:F75,F77,F83,F113,F91,F95,F99,F101,F103,F62)</f>
        <v>0</v>
      </c>
      <c r="G124" s="96" t="e">
        <f>Table15[[#This Row],[CO2mte]]/$F$126</f>
        <v>#DIV/0!</v>
      </c>
    </row>
    <row r="125" spans="1:9" ht="15.5" x14ac:dyDescent="0.35">
      <c r="B125" s="39" t="s">
        <v>179</v>
      </c>
      <c r="C125" s="39" t="s">
        <v>189</v>
      </c>
      <c r="D125" s="417"/>
      <c r="E125" s="47" t="s">
        <v>190</v>
      </c>
      <c r="F125" s="46">
        <f>SUM(F120,F121,F123)</f>
        <v>0</v>
      </c>
      <c r="G125" s="96" t="e">
        <f>Table15[[#This Row],[CO2mte]]/$F$125</f>
        <v>#DIV/0!</v>
      </c>
    </row>
    <row r="126" spans="1:9" s="7" customFormat="1" ht="16" thickBot="1" x14ac:dyDescent="0.4">
      <c r="B126" s="427" t="s">
        <v>179</v>
      </c>
      <c r="C126" s="427" t="s">
        <v>191</v>
      </c>
      <c r="D126" s="428"/>
      <c r="E126" s="429" t="s">
        <v>192</v>
      </c>
      <c r="F126" s="430">
        <f>SUM(F120,F122,F124)</f>
        <v>0</v>
      </c>
      <c r="G126" s="431" t="e">
        <f>Table15[[#This Row],[CO2mte]]/$F$126</f>
        <v>#DIV/0!</v>
      </c>
      <c r="I126" s="135"/>
    </row>
    <row r="127" spans="1:9" s="7" customFormat="1" ht="15.5" x14ac:dyDescent="0.35">
      <c r="B127" s="115" t="s">
        <v>179</v>
      </c>
      <c r="C127" s="418"/>
      <c r="D127" s="115" t="s">
        <v>193</v>
      </c>
      <c r="E127" s="419" t="s">
        <v>194</v>
      </c>
      <c r="F127" s="425">
        <f>SUM(F3,F8,F14,F17,F22,F23, F24,F25)</f>
        <v>0</v>
      </c>
      <c r="G127" s="426" t="e">
        <f>Table15[[#This Row],[CO2mte]]/IF('GHG Emissons Breakdown'!$F$14="Market-Based",Summary!$F$126,IF('GHG Emissons Breakdown'!$F$14="Location-Based",Summary!$F$125,FALSE))</f>
        <v>#DIV/0!</v>
      </c>
      <c r="I127" s="135"/>
    </row>
    <row r="128" spans="1:9" s="7" customFormat="1" ht="15.5" x14ac:dyDescent="0.35">
      <c r="B128" s="39" t="s">
        <v>179</v>
      </c>
      <c r="C128" s="420"/>
      <c r="D128" s="39" t="s">
        <v>195</v>
      </c>
      <c r="E128" s="421" t="s">
        <v>196</v>
      </c>
      <c r="F128" s="364">
        <f>F27</f>
        <v>0</v>
      </c>
      <c r="G128" s="96" t="e">
        <f>Table15[[#This Row],[CO2mte]]/$F$125</f>
        <v>#DIV/0!</v>
      </c>
      <c r="H128" s="135"/>
    </row>
    <row r="129" spans="1:245" s="7" customFormat="1" ht="15.5" x14ac:dyDescent="0.35">
      <c r="B129" s="39" t="s">
        <v>179</v>
      </c>
      <c r="C129" s="420"/>
      <c r="D129" s="39" t="s">
        <v>197</v>
      </c>
      <c r="E129" s="421" t="s">
        <v>198</v>
      </c>
      <c r="F129" s="364">
        <f>F28</f>
        <v>0</v>
      </c>
      <c r="G129" s="96" t="e">
        <f>Table15[[#This Row],[CO2mte]]/$F$126</f>
        <v>#DIV/0!</v>
      </c>
      <c r="H129" s="135"/>
    </row>
    <row r="130" spans="1:245" s="7" customFormat="1" ht="15.5" x14ac:dyDescent="0.35">
      <c r="B130" s="39" t="s">
        <v>179</v>
      </c>
      <c r="C130" s="420"/>
      <c r="D130" s="39" t="s">
        <v>199</v>
      </c>
      <c r="E130" s="421" t="s">
        <v>200</v>
      </c>
      <c r="F130" s="46">
        <f>SUM(F72:F75,F83,F91,F95,F113)</f>
        <v>0</v>
      </c>
      <c r="G130" s="134" t="e">
        <f>Table15[[#This Row],[CO2mte]]/IF('GHG Emissons Breakdown'!$F$14="Market-Based",Summary!$F$126,IF('GHG Emissons Breakdown'!$F$14="Location-Based",Summary!$F$125,FALSE))</f>
        <v>#DIV/0!</v>
      </c>
    </row>
    <row r="131" spans="1:245" s="7" customFormat="1" ht="15.5" x14ac:dyDescent="0.35">
      <c r="B131" s="39" t="s">
        <v>179</v>
      </c>
      <c r="C131" s="420"/>
      <c r="D131" s="39" t="s">
        <v>201</v>
      </c>
      <c r="E131" s="421" t="s">
        <v>202</v>
      </c>
      <c r="F131" s="46">
        <f>SUM(F31:F32,F48,F62,F64,F69,F77)</f>
        <v>0</v>
      </c>
      <c r="G131" s="96" t="e">
        <f>Table15[[#This Row],[CO2mte]]/$F$125</f>
        <v>#DIV/0!</v>
      </c>
      <c r="I131" s="1238"/>
      <c r="J131" s="1238"/>
    </row>
    <row r="132" spans="1:245" s="7" customFormat="1" ht="15.5" x14ac:dyDescent="0.35">
      <c r="B132" s="39" t="s">
        <v>179</v>
      </c>
      <c r="C132" s="420"/>
      <c r="D132" s="39" t="s">
        <v>203</v>
      </c>
      <c r="E132" s="421" t="s">
        <v>204</v>
      </c>
      <c r="F132" s="46">
        <f>SUM(F31:F32,F48,F62,F64,F70,F77)</f>
        <v>0</v>
      </c>
      <c r="G132" s="96" t="e">
        <f>Table15[[#This Row],[CO2mte]]/$F$126</f>
        <v>#DIV/0!</v>
      </c>
      <c r="I132" s="1238"/>
      <c r="J132" s="1238"/>
    </row>
    <row r="133" spans="1:245" s="7" customFormat="1" ht="15.5" x14ac:dyDescent="0.35">
      <c r="B133" s="112" t="s">
        <v>179</v>
      </c>
      <c r="C133" s="1239"/>
      <c r="D133" s="112" t="s">
        <v>205</v>
      </c>
      <c r="E133" s="1240" t="s">
        <v>206</v>
      </c>
      <c r="F133" s="1241">
        <f>SUM(F99,F101,F103)</f>
        <v>0</v>
      </c>
      <c r="G133" s="1242" t="e">
        <f>Table15[[#This Row],[CO2mte]]/IF('GHG Emissons Breakdown'!$F$14="Market-Based",Summary!$F$126,IF('GHG Emissons Breakdown'!$F$14="Location-Based",Summary!$F$125,FALSE))</f>
        <v>#DIV/0!</v>
      </c>
      <c r="I133" s="1243"/>
      <c r="J133" s="1238"/>
    </row>
    <row r="134" spans="1:245" s="7" customFormat="1" ht="23.5" x14ac:dyDescent="0.55000000000000004">
      <c r="B134" s="1244" t="s">
        <v>207</v>
      </c>
      <c r="C134" s="1245"/>
      <c r="D134" s="1245"/>
      <c r="E134" s="1246"/>
      <c r="F134" s="1247"/>
      <c r="G134" s="1248"/>
      <c r="H134" s="1249"/>
      <c r="I134" s="1249"/>
    </row>
    <row r="135" spans="1:245" s="7" customFormat="1" ht="19.5" x14ac:dyDescent="0.45">
      <c r="B135" s="1250" t="s">
        <v>208</v>
      </c>
      <c r="C135" s="1250"/>
      <c r="D135" s="1251"/>
      <c r="E135" s="1252"/>
      <c r="F135" s="1247"/>
      <c r="G135" s="1248"/>
      <c r="H135" s="1249"/>
      <c r="I135" s="1249"/>
    </row>
    <row r="136" spans="1:245" s="7" customFormat="1" ht="19.5" x14ac:dyDescent="0.45">
      <c r="B136" s="493" t="s">
        <v>209</v>
      </c>
      <c r="C136" s="1250"/>
      <c r="D136" s="1250"/>
      <c r="E136" s="1246"/>
      <c r="F136" s="1247"/>
      <c r="G136" s="1248"/>
      <c r="H136" s="1249"/>
      <c r="I136" s="1253"/>
    </row>
    <row r="137" spans="1:245" x14ac:dyDescent="0.35">
      <c r="B137" s="23"/>
      <c r="I137" s="611"/>
      <c r="IF137"/>
      <c r="IG137"/>
      <c r="IH137"/>
      <c r="II137"/>
      <c r="IJ137"/>
      <c r="IK137"/>
    </row>
    <row r="138" spans="1:245" ht="21" x14ac:dyDescent="0.5">
      <c r="A138" s="1269" t="s">
        <v>2039</v>
      </c>
      <c r="B138" s="1259"/>
      <c r="C138" s="1260"/>
      <c r="D138" s="1260"/>
      <c r="E138" s="1260"/>
      <c r="F138" s="1260"/>
      <c r="G138" s="1260"/>
      <c r="H138" s="1260"/>
      <c r="I138" s="1261"/>
      <c r="J138" s="1260"/>
      <c r="IF138"/>
      <c r="IG138"/>
      <c r="IH138"/>
      <c r="II138"/>
      <c r="IJ138"/>
      <c r="IK138"/>
    </row>
    <row r="139" spans="1:245" x14ac:dyDescent="0.35">
      <c r="A139" s="1288" t="s">
        <v>2030</v>
      </c>
      <c r="B139" s="1288"/>
      <c r="C139" s="1288"/>
      <c r="D139" s="1288"/>
      <c r="E139" s="1288"/>
      <c r="F139" s="1288"/>
      <c r="G139" s="1288"/>
      <c r="H139" s="1288"/>
      <c r="I139" s="1288"/>
      <c r="J139" s="1288"/>
      <c r="IF139"/>
      <c r="IG139"/>
      <c r="IH139"/>
      <c r="II139"/>
      <c r="IJ139"/>
      <c r="IK139"/>
    </row>
    <row r="140" spans="1:245" ht="14.5" customHeight="1" x14ac:dyDescent="0.35">
      <c r="A140" s="1280" t="s">
        <v>2032</v>
      </c>
      <c r="B140" s="1280"/>
      <c r="C140" s="1280"/>
      <c r="D140" s="1280"/>
      <c r="E140" s="1280"/>
      <c r="F140" s="1280"/>
      <c r="G140" s="1280"/>
      <c r="H140" s="1280"/>
      <c r="I140" s="1280"/>
      <c r="J140" s="1280"/>
      <c r="IF140"/>
      <c r="IG140"/>
      <c r="IH140"/>
      <c r="II140"/>
      <c r="IJ140"/>
      <c r="IK140"/>
    </row>
    <row r="141" spans="1:245" ht="14.5" customHeight="1" x14ac:dyDescent="0.35">
      <c r="A141" s="1280" t="s">
        <v>2033</v>
      </c>
      <c r="B141" s="1280"/>
      <c r="C141" s="1280"/>
      <c r="D141" s="1280"/>
      <c r="E141" s="1280"/>
      <c r="F141" s="1280"/>
      <c r="G141" s="1280"/>
      <c r="H141" s="1280"/>
      <c r="I141" s="1280"/>
      <c r="J141" s="1280"/>
      <c r="IF141"/>
      <c r="IG141"/>
      <c r="IH141"/>
      <c r="II141"/>
      <c r="IJ141"/>
      <c r="IK141"/>
    </row>
    <row r="142" spans="1:245" ht="14.5" customHeight="1" x14ac:dyDescent="0.35">
      <c r="A142" s="1289" t="s">
        <v>2031</v>
      </c>
      <c r="B142" s="1289"/>
      <c r="C142" s="1289"/>
      <c r="D142" s="1289"/>
      <c r="E142" s="1289"/>
      <c r="F142" s="1289"/>
      <c r="G142" s="1289"/>
      <c r="H142" s="1289"/>
      <c r="I142" s="1289"/>
      <c r="J142" s="1289"/>
      <c r="IF142"/>
      <c r="IG142"/>
      <c r="IH142"/>
      <c r="II142"/>
      <c r="IJ142"/>
      <c r="IK142"/>
    </row>
    <row r="143" spans="1:245" x14ac:dyDescent="0.35">
      <c r="A143" s="1289" t="s">
        <v>2024</v>
      </c>
      <c r="B143" s="1289"/>
      <c r="C143" s="1289"/>
      <c r="D143" s="1289"/>
      <c r="E143" s="1289"/>
      <c r="F143" s="1289"/>
      <c r="G143" s="1289"/>
      <c r="H143" s="1289"/>
      <c r="I143" s="1289"/>
      <c r="J143" s="1289"/>
      <c r="IF143"/>
      <c r="IG143"/>
      <c r="IH143"/>
      <c r="II143"/>
      <c r="IJ143"/>
      <c r="IK143"/>
    </row>
    <row r="144" spans="1:245" ht="12.65" customHeight="1" x14ac:dyDescent="0.35">
      <c r="IF144"/>
      <c r="IG144"/>
      <c r="IH144"/>
      <c r="II144"/>
      <c r="IJ144"/>
      <c r="IK144"/>
    </row>
    <row r="145" spans="1:245" ht="31" x14ac:dyDescent="0.7">
      <c r="B145" s="1281" t="s">
        <v>2037</v>
      </c>
      <c r="C145" s="1282"/>
      <c r="D145" s="1282"/>
      <c r="E145" s="1282"/>
      <c r="F145" s="1282"/>
      <c r="G145" s="1282"/>
      <c r="H145" s="1283"/>
      <c r="IF145"/>
      <c r="IG145"/>
      <c r="IH145"/>
      <c r="II145"/>
      <c r="IJ145"/>
      <c r="IK145"/>
    </row>
    <row r="146" spans="1:245" ht="43.5" customHeight="1" x14ac:dyDescent="0.35">
      <c r="A146" s="106"/>
      <c r="B146" s="482" t="s">
        <v>210</v>
      </c>
      <c r="C146" s="482" t="s">
        <v>211</v>
      </c>
      <c r="D146" s="482" t="s">
        <v>212</v>
      </c>
      <c r="E146" s="1284" t="s">
        <v>213</v>
      </c>
      <c r="F146" s="1285"/>
      <c r="G146" s="1231" t="s">
        <v>2021</v>
      </c>
      <c r="H146" s="482" t="s">
        <v>2022</v>
      </c>
      <c r="IF146"/>
      <c r="IG146"/>
      <c r="IH146"/>
      <c r="II146"/>
      <c r="IJ146"/>
      <c r="IK146"/>
    </row>
    <row r="147" spans="1:245" ht="29.15" customHeight="1" x14ac:dyDescent="0.35">
      <c r="A147" s="1254" t="s">
        <v>214</v>
      </c>
      <c r="B147" s="483">
        <f>'Auditor Worksheet'!$H$13</f>
        <v>0</v>
      </c>
      <c r="C147" s="484" t="s">
        <v>215</v>
      </c>
      <c r="D147" s="484" t="s">
        <v>215</v>
      </c>
      <c r="E147" s="1286">
        <f>'Auditor Worksheet'!$H$12</f>
        <v>0</v>
      </c>
      <c r="F147" s="1287"/>
      <c r="G147" s="1229" t="s">
        <v>215</v>
      </c>
      <c r="H147" s="484" t="s">
        <v>2023</v>
      </c>
      <c r="IF147"/>
      <c r="IG147"/>
      <c r="IH147"/>
      <c r="II147"/>
      <c r="IJ147"/>
      <c r="IK147"/>
    </row>
    <row r="148" spans="1:245" ht="16.5" x14ac:dyDescent="0.35">
      <c r="A148" s="1254" t="s">
        <v>2025</v>
      </c>
      <c r="B148" s="489">
        <f>'Auditor Worksheet'!$G$65</f>
        <v>0</v>
      </c>
      <c r="C148" s="485">
        <v>626.05266450362626</v>
      </c>
      <c r="D148" s="484">
        <v>6675.0675560282871</v>
      </c>
      <c r="E148" s="1278">
        <f>'Auditor Worksheet'!$E$65</f>
        <v>0</v>
      </c>
      <c r="F148" s="1279"/>
      <c r="G148" s="1227">
        <v>597.83333333333337</v>
      </c>
      <c r="H148" s="484">
        <v>7894.6612628314097</v>
      </c>
      <c r="IF148"/>
      <c r="IG148"/>
      <c r="IH148"/>
      <c r="II148"/>
      <c r="IJ148"/>
      <c r="IK148"/>
    </row>
    <row r="149" spans="1:245" ht="16.5" x14ac:dyDescent="0.35">
      <c r="A149" s="1254" t="s">
        <v>2026</v>
      </c>
      <c r="B149" s="489" t="str">
        <f>IF('GHG Emissons Breakdown'!$F$14="Location-based",'Auditor Worksheet'!$G$66,"NA")</f>
        <v>NA</v>
      </c>
      <c r="C149" s="486">
        <v>279.34633541570969</v>
      </c>
      <c r="D149" s="484">
        <v>4466.469923148933</v>
      </c>
      <c r="E149" s="1278" t="str">
        <f>IF('GHG Emissons Breakdown'!$F$14="Location-based",'Auditor Worksheet'!$E$66,"NA")</f>
        <v>NA</v>
      </c>
      <c r="F149" s="1279"/>
      <c r="G149" s="1228">
        <v>279.36666666666667</v>
      </c>
      <c r="H149" s="484">
        <v>2392.8469758714309</v>
      </c>
      <c r="IF149"/>
      <c r="IG149"/>
      <c r="IH149"/>
      <c r="II149"/>
      <c r="IJ149"/>
      <c r="IK149"/>
    </row>
    <row r="150" spans="1:245" s="7" customFormat="1" ht="16.5" x14ac:dyDescent="0.35">
      <c r="A150" s="1254" t="s">
        <v>2027</v>
      </c>
      <c r="B150" s="487" t="str">
        <f>IF('GHG Emissons Breakdown'!$F$14="Location-based",'Auditor Worksheet'!$G$67,"NA")</f>
        <v>NA</v>
      </c>
      <c r="C150" s="486">
        <v>3798.1988687857665</v>
      </c>
      <c r="D150" s="484">
        <v>61121.817579694783</v>
      </c>
      <c r="E150" s="1278" t="str">
        <f>IF('GHG Emissons Breakdown'!$F$14="Location-based",'Auditor Worksheet'!$E$67,"NA")</f>
        <v>NA</v>
      </c>
      <c r="F150" s="1279"/>
      <c r="G150" s="1228">
        <v>2370.7333333333331</v>
      </c>
      <c r="H150" s="484">
        <v>53180.67464364849</v>
      </c>
    </row>
    <row r="151" spans="1:245" s="7" customFormat="1" ht="31" x14ac:dyDescent="0.35">
      <c r="A151" s="1254" t="s">
        <v>2028</v>
      </c>
      <c r="B151" s="489" t="str">
        <f>IF('GHG Emissons Breakdown'!$F$14="Location-based",'Auditor Worksheet'!$G$68,"NA")</f>
        <v>NA</v>
      </c>
      <c r="C151" s="486">
        <v>4703.597868705102</v>
      </c>
      <c r="D151" s="484">
        <v>72263.385680979351</v>
      </c>
      <c r="E151" s="1278" t="str">
        <f>IF('GHG Emissons Breakdown'!$F$14="Location-based",'Auditor Worksheet'!$E$68,"NA")</f>
        <v>NA</v>
      </c>
      <c r="F151" s="1279"/>
      <c r="G151" s="1229">
        <v>3247.9333333333329</v>
      </c>
      <c r="H151" s="484">
        <v>63243.5989350698</v>
      </c>
      <c r="I151" s="492"/>
    </row>
    <row r="152" spans="1:245" s="7" customFormat="1" x14ac:dyDescent="0.35">
      <c r="A152" s="1254" t="s">
        <v>216</v>
      </c>
      <c r="B152" s="487">
        <f>'Auditor Worksheet'!$G$70</f>
        <v>0</v>
      </c>
      <c r="C152" s="484">
        <v>1509432.446</v>
      </c>
      <c r="D152" s="488">
        <v>37438052.732000001</v>
      </c>
      <c r="E152" s="1278">
        <f>'Auditor Worksheet'!$E$70</f>
        <v>0</v>
      </c>
      <c r="F152" s="1279"/>
      <c r="G152" s="1229">
        <v>1664879</v>
      </c>
      <c r="H152" s="484">
        <v>44263156.344917543</v>
      </c>
    </row>
    <row r="153" spans="1:245" s="7" customFormat="1" x14ac:dyDescent="0.35">
      <c r="A153" s="1254" t="s">
        <v>217</v>
      </c>
      <c r="B153" s="489">
        <f>B152/9</f>
        <v>0</v>
      </c>
      <c r="C153" s="484">
        <v>167714.71622222223</v>
      </c>
      <c r="D153" s="484">
        <v>4159783.6368888891</v>
      </c>
      <c r="E153" s="1278">
        <f>E152/9</f>
        <v>0</v>
      </c>
      <c r="F153" s="1279"/>
      <c r="G153" s="1229">
        <v>184986.55555555556</v>
      </c>
      <c r="H153" s="484">
        <v>4918128.4827686157</v>
      </c>
    </row>
    <row r="154" spans="1:245" s="7" customFormat="1" ht="31" x14ac:dyDescent="0.35">
      <c r="A154" s="1254" t="s">
        <v>2029</v>
      </c>
      <c r="B154" s="490" t="e">
        <f>B151*1000/B152</f>
        <v>#VALUE!</v>
      </c>
      <c r="C154" s="491">
        <v>4.1850195623614317</v>
      </c>
      <c r="D154" s="491">
        <v>2.1236854793959354</v>
      </c>
      <c r="E154" s="1276" t="e">
        <f>E151*1000/E152</f>
        <v>#VALUE!</v>
      </c>
      <c r="F154" s="1277"/>
      <c r="G154" s="1230">
        <v>2.5545777751454879</v>
      </c>
      <c r="H154" s="491">
        <v>1.4592771299212028</v>
      </c>
    </row>
    <row r="155" spans="1:245" s="7" customFormat="1" x14ac:dyDescent="0.35">
      <c r="A155" s="492"/>
      <c r="B155" s="492"/>
      <c r="C155" s="1255" t="s">
        <v>2034</v>
      </c>
      <c r="D155" s="1255" t="s">
        <v>221</v>
      </c>
      <c r="E155" s="492"/>
      <c r="F155" s="492"/>
      <c r="G155" s="1262" t="s">
        <v>220</v>
      </c>
      <c r="H155" s="1255" t="s">
        <v>219</v>
      </c>
    </row>
    <row r="156" spans="1:245" s="7" customFormat="1" ht="29.15" customHeight="1" x14ac:dyDescent="0.35"/>
    <row r="157" spans="1:245" s="7" customFormat="1" ht="31" x14ac:dyDescent="0.7">
      <c r="B157" s="1281" t="s">
        <v>2038</v>
      </c>
      <c r="C157" s="1282"/>
      <c r="D157" s="1282"/>
      <c r="E157" s="1282"/>
      <c r="F157" s="1282"/>
      <c r="G157" s="1282"/>
      <c r="H157" s="1283"/>
    </row>
    <row r="158" spans="1:245" s="7" customFormat="1" ht="43.5" customHeight="1" x14ac:dyDescent="0.35">
      <c r="A158" s="106"/>
      <c r="B158" s="482" t="s">
        <v>210</v>
      </c>
      <c r="C158" s="482" t="s">
        <v>211</v>
      </c>
      <c r="D158" s="482" t="s">
        <v>212</v>
      </c>
      <c r="E158" s="1284" t="s">
        <v>213</v>
      </c>
      <c r="F158" s="1285"/>
      <c r="G158" s="1231" t="s">
        <v>2021</v>
      </c>
      <c r="H158" s="482" t="s">
        <v>2022</v>
      </c>
    </row>
    <row r="159" spans="1:245" s="7" customFormat="1" ht="29.15" customHeight="1" x14ac:dyDescent="0.35">
      <c r="A159" s="1254" t="s">
        <v>214</v>
      </c>
      <c r="B159" s="483">
        <f>'Auditor Worksheet'!$H$13</f>
        <v>0</v>
      </c>
      <c r="C159" s="484" t="s">
        <v>215</v>
      </c>
      <c r="D159" s="484" t="s">
        <v>215</v>
      </c>
      <c r="E159" s="1286">
        <f>'Auditor Worksheet'!$H$12</f>
        <v>0</v>
      </c>
      <c r="F159" s="1287"/>
      <c r="G159" s="1229" t="s">
        <v>215</v>
      </c>
      <c r="H159" s="484" t="s">
        <v>2023</v>
      </c>
    </row>
    <row r="160" spans="1:245" s="7" customFormat="1" ht="16.5" x14ac:dyDescent="0.35">
      <c r="A160" s="1254" t="s">
        <v>2025</v>
      </c>
      <c r="B160" s="489">
        <f>'Auditor Worksheet'!$G$65</f>
        <v>0</v>
      </c>
      <c r="C160" s="484">
        <v>662.3017110005743</v>
      </c>
      <c r="D160" s="484">
        <v>6406.0937077310637</v>
      </c>
      <c r="E160" s="1278">
        <f>'Auditor Worksheet'!$E$65</f>
        <v>0</v>
      </c>
      <c r="F160" s="1279"/>
      <c r="G160" s="1229">
        <v>678.17593996843652</v>
      </c>
      <c r="H160" s="484">
        <v>5899.7262505907638</v>
      </c>
    </row>
    <row r="161" spans="1:9" s="7" customFormat="1" ht="16.5" x14ac:dyDescent="0.35">
      <c r="A161" s="1254" t="s">
        <v>2026</v>
      </c>
      <c r="B161" s="489" t="str">
        <f>IF('GHG Emissons Breakdown'!$F$14="Market-based",'Auditor Worksheet'!$G$66,"NA")</f>
        <v>NA</v>
      </c>
      <c r="C161" s="484">
        <v>247.93545629874291</v>
      </c>
      <c r="D161" s="484">
        <v>4364.3274197726187</v>
      </c>
      <c r="E161" s="1278" t="str">
        <f>IF('GHG Emissons Breakdown'!$F$14="Market-based",'Auditor Worksheet'!$E$66,"NA")</f>
        <v>NA</v>
      </c>
      <c r="F161" s="1279"/>
      <c r="G161" s="1229">
        <v>184.97690890195773</v>
      </c>
      <c r="H161" s="484">
        <v>1197.3259159838133</v>
      </c>
    </row>
    <row r="162" spans="1:9" s="7" customFormat="1" ht="16.5" x14ac:dyDescent="0.35">
      <c r="A162" s="1254" t="s">
        <v>2027</v>
      </c>
      <c r="B162" s="487" t="str">
        <f>IF('GHG Emissons Breakdown'!$F$14="Market-based",'Auditor Worksheet'!$G$67,"NA")</f>
        <v>NA</v>
      </c>
      <c r="C162" s="484">
        <v>3237.7294809765581</v>
      </c>
      <c r="D162" s="484">
        <v>63609.77177324253</v>
      </c>
      <c r="E162" s="1278" t="str">
        <f>IF('GHG Emissons Breakdown'!$F$14="Market-based",'Auditor Worksheet'!$E$67,"NA")</f>
        <v>NA</v>
      </c>
      <c r="F162" s="1279"/>
      <c r="G162" s="1229">
        <v>2923.2995102553919</v>
      </c>
      <c r="H162" s="484">
        <v>48330.099345163442</v>
      </c>
    </row>
    <row r="163" spans="1:9" s="7" customFormat="1" ht="31" x14ac:dyDescent="0.35">
      <c r="A163" s="1254" t="s">
        <v>2028</v>
      </c>
      <c r="B163" s="489" t="str">
        <f>IF('GHG Emissons Breakdown'!$F$14="Market-based",'Auditor Worksheet'!$G$68,"NA")</f>
        <v>NA</v>
      </c>
      <c r="C163" s="484">
        <v>4147.9666482758757</v>
      </c>
      <c r="D163" s="484">
        <v>74380.192900746217</v>
      </c>
      <c r="E163" s="1278" t="str">
        <f>IF('GHG Emissons Breakdown'!$F$14="Market-based",'Auditor Worksheet'!$E$68,"NA")</f>
        <v>NA</v>
      </c>
      <c r="F163" s="1279"/>
      <c r="G163" s="1229">
        <v>3786.4523591257857</v>
      </c>
      <c r="H163" s="484">
        <v>55427.151511738026</v>
      </c>
      <c r="I163" s="492"/>
    </row>
    <row r="164" spans="1:9" s="7" customFormat="1" x14ac:dyDescent="0.35">
      <c r="A164" s="1254" t="s">
        <v>216</v>
      </c>
      <c r="B164" s="487">
        <f>'Auditor Worksheet'!$G$70</f>
        <v>0</v>
      </c>
      <c r="C164" s="484">
        <v>1383161.3935294119</v>
      </c>
      <c r="D164" s="484">
        <v>41506700.785312496</v>
      </c>
      <c r="E164" s="1278">
        <f>'Auditor Worksheet'!$E$70</f>
        <v>0</v>
      </c>
      <c r="F164" s="1279"/>
      <c r="G164" s="1229">
        <v>1451306.5</v>
      </c>
      <c r="H164" s="484">
        <v>38057729.273794033</v>
      </c>
      <c r="I164" s="1"/>
    </row>
    <row r="165" spans="1:9" s="7" customFormat="1" x14ac:dyDescent="0.35">
      <c r="A165" s="1254" t="s">
        <v>217</v>
      </c>
      <c r="B165" s="489">
        <f>B164/9</f>
        <v>0</v>
      </c>
      <c r="C165" s="484">
        <v>153684.59928104575</v>
      </c>
      <c r="D165" s="484">
        <v>4611855.6428124998</v>
      </c>
      <c r="E165" s="1278">
        <f>E164/9</f>
        <v>0</v>
      </c>
      <c r="F165" s="1279"/>
      <c r="G165" s="1229">
        <v>161256.27777777778</v>
      </c>
      <c r="H165" s="484">
        <v>4228636.5859771147</v>
      </c>
    </row>
    <row r="166" spans="1:9" s="7" customFormat="1" ht="14.5" customHeight="1" x14ac:dyDescent="0.35">
      <c r="A166" s="1254" t="s">
        <v>2029</v>
      </c>
      <c r="B166" s="490" t="e">
        <f>B163*1000/B164</f>
        <v>#VALUE!</v>
      </c>
      <c r="C166" s="491">
        <v>3.8671996684460548</v>
      </c>
      <c r="D166" s="491">
        <v>1.8359380904382061</v>
      </c>
      <c r="E166" s="1276" t="e">
        <f>E163*1000/E164</f>
        <v>#VALUE!</v>
      </c>
      <c r="F166" s="1277"/>
      <c r="G166" s="1230">
        <v>3.4301846009787176</v>
      </c>
      <c r="H166" s="491">
        <v>1.522055865860944</v>
      </c>
      <c r="I166" s="1"/>
    </row>
    <row r="167" spans="1:9" s="7" customFormat="1" x14ac:dyDescent="0.35">
      <c r="A167" s="492"/>
      <c r="B167" s="492"/>
      <c r="C167" s="1255" t="s">
        <v>2035</v>
      </c>
      <c r="D167" s="1255" t="s">
        <v>2036</v>
      </c>
      <c r="E167" s="492"/>
      <c r="F167" s="492"/>
      <c r="G167" s="1262" t="s">
        <v>218</v>
      </c>
      <c r="H167" s="1255" t="s">
        <v>219</v>
      </c>
    </row>
    <row r="168" spans="1:9" s="1258" customFormat="1" x14ac:dyDescent="0.35">
      <c r="A168" s="1256"/>
      <c r="B168" s="1257"/>
      <c r="C168" s="1257"/>
      <c r="D168" s="1257"/>
      <c r="E168" s="1257"/>
      <c r="F168" s="1257"/>
      <c r="G168" s="1257"/>
      <c r="H168" s="1257"/>
    </row>
    <row r="169" spans="1:9" s="7" customFormat="1" ht="14.5" customHeight="1" x14ac:dyDescent="0.35"/>
    <row r="170" spans="1:9" s="7" customFormat="1" x14ac:dyDescent="0.35"/>
    <row r="171" spans="1:9" s="7" customFormat="1" x14ac:dyDescent="0.35"/>
    <row r="172" spans="1:9" s="7" customFormat="1" x14ac:dyDescent="0.35"/>
    <row r="173" spans="1:9" s="7" customFormat="1" x14ac:dyDescent="0.35"/>
    <row r="174" spans="1:9" s="7" customFormat="1" x14ac:dyDescent="0.35"/>
    <row r="175" spans="1:9" s="7" customFormat="1" x14ac:dyDescent="0.35"/>
    <row r="176" spans="1:9"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7" customFormat="1" x14ac:dyDescent="0.35"/>
    <row r="194" s="7" customFormat="1" x14ac:dyDescent="0.35"/>
    <row r="195" s="7" customFormat="1" x14ac:dyDescent="0.35"/>
    <row r="196" s="7" customFormat="1" x14ac:dyDescent="0.35"/>
    <row r="197" s="7" customFormat="1" x14ac:dyDescent="0.35"/>
    <row r="198" s="7" customFormat="1" x14ac:dyDescent="0.35"/>
    <row r="199" s="7" customFormat="1" x14ac:dyDescent="0.35"/>
    <row r="200" s="7" customFormat="1" x14ac:dyDescent="0.35"/>
    <row r="201" s="7" customFormat="1" x14ac:dyDescent="0.35"/>
    <row r="202" s="7" customFormat="1" x14ac:dyDescent="0.35"/>
    <row r="203" s="7" customFormat="1" x14ac:dyDescent="0.35"/>
    <row r="204" s="7" customFormat="1" x14ac:dyDescent="0.35"/>
    <row r="205" s="7" customFormat="1" x14ac:dyDescent="0.35"/>
    <row r="206" s="7" customFormat="1" x14ac:dyDescent="0.35"/>
    <row r="207" s="7" customFormat="1" x14ac:dyDescent="0.35"/>
    <row r="20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sheetData>
  <sheetProtection algorithmName="SHA-512" hashValue="/7wxSkR7l9jTJwddEHE9Ee2s22RMDrBwWzJ6Ser+7GZxegoZsgI3sY5Qi6ZHgT6TKw9kYMpoha30LK5mLHJK/w==" saltValue="cC7D7dae6GtYskWFiA74og==" spinCount="100000" sheet="1" objects="1" scenarios="1"/>
  <mergeCells count="25">
    <mergeCell ref="B157:H157"/>
    <mergeCell ref="A139:J139"/>
    <mergeCell ref="A140:J140"/>
    <mergeCell ref="A142:J142"/>
    <mergeCell ref="E153:F153"/>
    <mergeCell ref="E150:F150"/>
    <mergeCell ref="E151:F151"/>
    <mergeCell ref="A143:J143"/>
    <mergeCell ref="E152:F152"/>
    <mergeCell ref="E154:F154"/>
    <mergeCell ref="E165:F165"/>
    <mergeCell ref="A141:J141"/>
    <mergeCell ref="E166:F166"/>
    <mergeCell ref="E164:F164"/>
    <mergeCell ref="B145:H145"/>
    <mergeCell ref="E163:F163"/>
    <mergeCell ref="E158:F158"/>
    <mergeCell ref="E159:F159"/>
    <mergeCell ref="E160:F160"/>
    <mergeCell ref="E161:F161"/>
    <mergeCell ref="E162:F162"/>
    <mergeCell ref="E146:F146"/>
    <mergeCell ref="E147:F147"/>
    <mergeCell ref="E148:F148"/>
    <mergeCell ref="E149:F149"/>
  </mergeCells>
  <phoneticPr fontId="38" type="noConversion"/>
  <conditionalFormatting sqref="H81:H83">
    <cfRule type="dataBar" priority="1">
      <dataBar>
        <cfvo type="min"/>
        <cfvo type="max"/>
        <color rgb="FF63C384"/>
      </dataBar>
      <extLst>
        <ext xmlns:x14="http://schemas.microsoft.com/office/spreadsheetml/2009/9/main" uri="{B025F937-C7B1-47D3-B67F-A62EFF666E3E}">
          <x14:id>{7A717952-CF16-4B52-9125-34A9AB46C827}</x14:id>
        </ext>
      </extLst>
    </cfRule>
  </conditionalFormatting>
  <pageMargins left="0.7" right="0.7" top="0.75" bottom="0.75" header="0.3" footer="0.3"/>
  <pageSetup fitToHeight="0" orientation="landscape" horizontalDpi="4294967293"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A717952-CF16-4B52-9125-34A9AB46C827}">
            <x14:dataBar minLength="0" maxLength="100" border="1" negativeBarBorderColorSameAsPositive="0">
              <x14:cfvo type="autoMin"/>
              <x14:cfvo type="autoMax"/>
              <x14:borderColor rgb="FF63C384"/>
              <x14:negativeFillColor rgb="FFFF0000"/>
              <x14:negativeBorderColor rgb="FFFF0000"/>
              <x14:axisColor rgb="FF000000"/>
            </x14:dataBar>
          </x14:cfRule>
          <xm:sqref>H81:H83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C302-03E4-4BE8-BA74-C1D9C72EB963}">
  <sheetPr>
    <tabColor theme="9" tint="-0.499984740745262"/>
  </sheetPr>
  <dimension ref="A1:AI138"/>
  <sheetViews>
    <sheetView zoomScale="90" zoomScaleNormal="90" workbookViewId="0">
      <selection activeCell="F14" sqref="F14:H14"/>
    </sheetView>
  </sheetViews>
  <sheetFormatPr baseColWidth="10" defaultColWidth="11.453125" defaultRowHeight="14.5" x14ac:dyDescent="0.35"/>
  <cols>
    <col min="1" max="1" width="5.26953125" style="1137" customWidth="1"/>
    <col min="2" max="2" width="25.81640625" style="291" customWidth="1"/>
    <col min="3" max="3" width="25.54296875" style="329" customWidth="1"/>
    <col min="4" max="4" width="103.453125" style="329" customWidth="1"/>
    <col min="5" max="5" width="14.7265625" style="330" customWidth="1"/>
    <col min="6" max="6" width="15.7265625" style="328" customWidth="1"/>
    <col min="7" max="7" width="15.7265625" style="330" customWidth="1"/>
    <col min="8" max="8" width="39.81640625" style="329" customWidth="1"/>
    <col min="9" max="27" width="11.453125" style="291"/>
    <col min="28" max="35" width="11.453125" style="309"/>
    <col min="36" max="16384" width="11.453125" style="310"/>
  </cols>
  <sheetData>
    <row r="1" spans="1:23" ht="66" customHeight="1" x14ac:dyDescent="0.35">
      <c r="C1" s="1345" t="s">
        <v>222</v>
      </c>
      <c r="D1" s="1345"/>
      <c r="E1" s="1345"/>
      <c r="F1" s="1358" t="s">
        <v>1991</v>
      </c>
      <c r="G1" s="1358"/>
      <c r="H1" s="1358"/>
    </row>
    <row r="2" spans="1:23" ht="14.5" customHeight="1" thickBot="1" x14ac:dyDescent="0.4">
      <c r="C2" s="1345"/>
      <c r="D2" s="1345"/>
      <c r="E2" s="1345"/>
      <c r="F2" s="289"/>
      <c r="G2" s="290"/>
      <c r="H2" s="291"/>
    </row>
    <row r="3" spans="1:23" ht="44.25" customHeight="1" thickBot="1" x14ac:dyDescent="0.4">
      <c r="B3" s="1140" t="s">
        <v>1964</v>
      </c>
      <c r="C3" s="1178" t="s">
        <v>1965</v>
      </c>
      <c r="D3" s="1359" t="s">
        <v>1963</v>
      </c>
      <c r="E3" s="1359"/>
      <c r="F3" s="1359"/>
      <c r="G3" s="1359"/>
      <c r="H3" s="1360"/>
    </row>
    <row r="4" spans="1:23" ht="28" customHeight="1" x14ac:dyDescent="0.6">
      <c r="A4" s="1155"/>
      <c r="B4" s="1165" t="s">
        <v>43</v>
      </c>
      <c r="C4" s="1160" t="s">
        <v>223</v>
      </c>
      <c r="D4" s="1139"/>
      <c r="E4" s="1232" t="s">
        <v>2019</v>
      </c>
      <c r="F4" s="1346" t="s">
        <v>224</v>
      </c>
      <c r="G4" s="1346"/>
      <c r="H4" s="1347"/>
    </row>
    <row r="5" spans="1:23" ht="29" x14ac:dyDescent="0.35">
      <c r="A5" s="1155"/>
      <c r="B5" s="1361" t="s">
        <v>1966</v>
      </c>
      <c r="C5" s="1348" t="s">
        <v>225</v>
      </c>
      <c r="D5" s="1141" t="s">
        <v>226</v>
      </c>
      <c r="E5" s="1233">
        <f>SUM(Summary!F3,Summary!F8)</f>
        <v>0</v>
      </c>
      <c r="F5" s="1333"/>
      <c r="G5" s="1333"/>
      <c r="H5" s="1334"/>
    </row>
    <row r="6" spans="1:23" x14ac:dyDescent="0.35">
      <c r="A6" s="1155"/>
      <c r="B6" s="1362"/>
      <c r="C6" s="1349"/>
      <c r="D6" s="1142" t="s">
        <v>227</v>
      </c>
      <c r="E6" s="1263">
        <f>Summary!F25</f>
        <v>0</v>
      </c>
      <c r="F6" s="1333" t="s">
        <v>2014</v>
      </c>
      <c r="G6" s="1333"/>
      <c r="H6" s="1334"/>
    </row>
    <row r="7" spans="1:23" x14ac:dyDescent="0.35">
      <c r="A7" s="1155"/>
      <c r="B7" s="1362"/>
      <c r="C7" s="1349"/>
      <c r="D7" s="1142" t="s">
        <v>228</v>
      </c>
      <c r="E7" s="1263">
        <f>Summary!F22</f>
        <v>0</v>
      </c>
      <c r="F7" s="1333"/>
      <c r="G7" s="1333"/>
      <c r="H7" s="1334"/>
    </row>
    <row r="8" spans="1:23" ht="15" customHeight="1" x14ac:dyDescent="0.35">
      <c r="A8" s="1155"/>
      <c r="B8" s="1362"/>
      <c r="C8" s="1349"/>
      <c r="D8" s="1143" t="s">
        <v>229</v>
      </c>
      <c r="E8" s="1263">
        <f>Summary!F24</f>
        <v>0</v>
      </c>
      <c r="F8" s="1333"/>
      <c r="G8" s="1333"/>
      <c r="H8" s="1334"/>
    </row>
    <row r="9" spans="1:23" x14ac:dyDescent="0.35">
      <c r="A9" s="1155"/>
      <c r="B9" s="1362"/>
      <c r="C9" s="1349"/>
      <c r="D9" s="1142" t="s">
        <v>230</v>
      </c>
      <c r="E9" s="1263">
        <f>Summary!F14</f>
        <v>0</v>
      </c>
      <c r="F9" s="1333" t="s">
        <v>2014</v>
      </c>
      <c r="G9" s="1333"/>
      <c r="H9" s="1334"/>
    </row>
    <row r="10" spans="1:23" x14ac:dyDescent="0.35">
      <c r="A10" s="1155"/>
      <c r="B10" s="1362"/>
      <c r="C10" s="1349"/>
      <c r="D10" s="1142" t="s">
        <v>231</v>
      </c>
      <c r="E10" s="1263">
        <f>Summary!F17</f>
        <v>0</v>
      </c>
      <c r="F10" s="1333"/>
      <c r="G10" s="1333"/>
      <c r="H10" s="1334"/>
    </row>
    <row r="11" spans="1:23" ht="45.5" x14ac:dyDescent="0.35">
      <c r="A11" s="1155"/>
      <c r="B11" s="1363"/>
      <c r="C11" s="1350"/>
      <c r="D11" s="1144" t="s">
        <v>2017</v>
      </c>
      <c r="E11" s="1233">
        <f>Summary!F23</f>
        <v>0</v>
      </c>
      <c r="F11" s="1351" t="s">
        <v>2001</v>
      </c>
      <c r="G11" s="1352"/>
      <c r="H11" s="1353"/>
    </row>
    <row r="12" spans="1:23" x14ac:dyDescent="0.35">
      <c r="A12" s="1155"/>
      <c r="B12" s="1156"/>
      <c r="C12" s="1145"/>
      <c r="D12" s="293"/>
      <c r="E12" s="1234"/>
      <c r="F12" s="1181"/>
      <c r="G12" s="1181"/>
      <c r="H12" s="1180"/>
    </row>
    <row r="13" spans="1:23" ht="28.9" customHeight="1" x14ac:dyDescent="0.6">
      <c r="A13" s="1155"/>
      <c r="B13" s="1164" t="s">
        <v>75</v>
      </c>
      <c r="C13" s="1161" t="s">
        <v>232</v>
      </c>
      <c r="D13" s="1147"/>
      <c r="E13" s="1235" t="s">
        <v>2019</v>
      </c>
      <c r="F13" s="1354" t="s">
        <v>224</v>
      </c>
      <c r="G13" s="1354"/>
      <c r="H13" s="1355"/>
    </row>
    <row r="14" spans="1:23" ht="52.5" customHeight="1" x14ac:dyDescent="0.35">
      <c r="A14" s="1155"/>
      <c r="B14" s="1157" t="s">
        <v>1967</v>
      </c>
      <c r="C14" s="1148" t="s">
        <v>66</v>
      </c>
      <c r="D14" s="1149" t="s">
        <v>1975</v>
      </c>
      <c r="E14" s="1263" t="b">
        <f>IF(F14="Location-based",Summary!F27,IF(F14="Market-based",Summary!F28,FALSE))</f>
        <v>0</v>
      </c>
      <c r="F14" s="1333"/>
      <c r="G14" s="1333"/>
      <c r="H14" s="1334"/>
      <c r="I14" s="1343" t="s">
        <v>233</v>
      </c>
      <c r="J14" s="1344"/>
      <c r="K14" s="1344"/>
      <c r="L14" s="1344"/>
      <c r="M14" s="1344"/>
      <c r="N14" s="1344"/>
      <c r="O14" s="1344"/>
      <c r="P14" s="363"/>
      <c r="Q14" s="363"/>
      <c r="R14" s="363"/>
      <c r="S14" s="363"/>
      <c r="T14" s="363"/>
      <c r="U14" s="363"/>
      <c r="V14" s="363"/>
      <c r="W14" s="363"/>
    </row>
    <row r="15" spans="1:23" x14ac:dyDescent="0.35">
      <c r="A15" s="1155"/>
      <c r="B15" s="1156"/>
      <c r="C15" s="1151"/>
      <c r="D15" s="293"/>
      <c r="E15" s="1234"/>
      <c r="F15" s="1181"/>
      <c r="G15" s="1181"/>
      <c r="H15" s="1180"/>
    </row>
    <row r="16" spans="1:23" ht="28.9" customHeight="1" x14ac:dyDescent="0.6">
      <c r="A16" s="1155"/>
      <c r="B16" s="1163" t="s">
        <v>1968</v>
      </c>
      <c r="C16" s="1162" t="s">
        <v>234</v>
      </c>
      <c r="D16" s="1152"/>
      <c r="E16" s="1235" t="s">
        <v>2019</v>
      </c>
      <c r="F16" s="1354" t="s">
        <v>224</v>
      </c>
      <c r="G16" s="1354"/>
      <c r="H16" s="1355"/>
    </row>
    <row r="17" spans="1:8" x14ac:dyDescent="0.35">
      <c r="A17" s="1155"/>
      <c r="B17" s="1356" t="s">
        <v>1969</v>
      </c>
      <c r="C17" s="1332" t="s">
        <v>88</v>
      </c>
      <c r="D17" s="1154" t="s">
        <v>235</v>
      </c>
      <c r="E17" s="1263">
        <f>SUM(Summary!F51,Summary!F60)</f>
        <v>0</v>
      </c>
      <c r="F17" s="1333"/>
      <c r="G17" s="1333"/>
      <c r="H17" s="1334"/>
    </row>
    <row r="18" spans="1:8" x14ac:dyDescent="0.35">
      <c r="A18" s="1155"/>
      <c r="B18" s="1356"/>
      <c r="C18" s="1332"/>
      <c r="D18" s="1154" t="s">
        <v>236</v>
      </c>
      <c r="E18" s="1263">
        <f>Summary!F52</f>
        <v>0</v>
      </c>
      <c r="F18" s="1333"/>
      <c r="G18" s="1333"/>
      <c r="H18" s="1334"/>
    </row>
    <row r="19" spans="1:8" x14ac:dyDescent="0.35">
      <c r="A19" s="1155"/>
      <c r="B19" s="1356"/>
      <c r="C19" s="1332"/>
      <c r="D19" s="1154" t="s">
        <v>237</v>
      </c>
      <c r="E19" s="1263">
        <f>SUM(Summary!F49:F50)</f>
        <v>0</v>
      </c>
      <c r="F19" s="1333"/>
      <c r="G19" s="1333"/>
      <c r="H19" s="1334"/>
    </row>
    <row r="20" spans="1:8" x14ac:dyDescent="0.35">
      <c r="A20" s="1155"/>
      <c r="B20" s="1356"/>
      <c r="C20" s="1332"/>
      <c r="D20" s="1154" t="s">
        <v>238</v>
      </c>
      <c r="E20" s="1263">
        <f>Summary!F53</f>
        <v>0</v>
      </c>
      <c r="F20" s="1333"/>
      <c r="G20" s="1333"/>
      <c r="H20" s="1334"/>
    </row>
    <row r="21" spans="1:8" x14ac:dyDescent="0.35">
      <c r="A21" s="1155"/>
      <c r="B21" s="1356"/>
      <c r="C21" s="1332"/>
      <c r="D21" s="1154" t="s">
        <v>239</v>
      </c>
      <c r="E21" s="1263">
        <f>Summary!F55+Summary!F56</f>
        <v>0</v>
      </c>
      <c r="F21" s="1333"/>
      <c r="G21" s="1333"/>
      <c r="H21" s="1334"/>
    </row>
    <row r="22" spans="1:8" x14ac:dyDescent="0.35">
      <c r="A22" s="1155"/>
      <c r="B22" s="1356"/>
      <c r="C22" s="1332"/>
      <c r="D22" s="1154" t="s">
        <v>240</v>
      </c>
      <c r="E22" s="1263">
        <f>Summary!F57</f>
        <v>0</v>
      </c>
      <c r="F22" s="1333"/>
      <c r="G22" s="1333"/>
      <c r="H22" s="1334"/>
    </row>
    <row r="23" spans="1:8" x14ac:dyDescent="0.35">
      <c r="A23" s="1155"/>
      <c r="B23" s="1356"/>
      <c r="C23" s="1332"/>
      <c r="D23" s="1154" t="s">
        <v>241</v>
      </c>
      <c r="E23" s="1263">
        <f>Summary!F59</f>
        <v>0</v>
      </c>
      <c r="F23" s="1333"/>
      <c r="G23" s="1333"/>
      <c r="H23" s="1334"/>
    </row>
    <row r="24" spans="1:8" x14ac:dyDescent="0.35">
      <c r="A24" s="1155"/>
      <c r="B24" s="1356"/>
      <c r="C24" s="1332"/>
      <c r="D24" s="1154" t="s">
        <v>242</v>
      </c>
      <c r="E24" s="1263">
        <f>Summary!F54</f>
        <v>0</v>
      </c>
      <c r="F24" s="1333"/>
      <c r="G24" s="1333"/>
      <c r="H24" s="1334"/>
    </row>
    <row r="25" spans="1:8" x14ac:dyDescent="0.35">
      <c r="A25" s="1155"/>
      <c r="B25" s="1356" t="s">
        <v>81</v>
      </c>
      <c r="C25" s="1332" t="s">
        <v>243</v>
      </c>
      <c r="D25" s="1154" t="s">
        <v>244</v>
      </c>
      <c r="E25" s="1263">
        <f>SUM(Summary!F33,Summary!F47,Summary!F35,Summary!F34,Summary!F41,Summary!F38,Summary!F42)</f>
        <v>0</v>
      </c>
      <c r="F25" s="1333"/>
      <c r="G25" s="1333"/>
      <c r="H25" s="1334"/>
    </row>
    <row r="26" spans="1:8" x14ac:dyDescent="0.35">
      <c r="A26" s="1155"/>
      <c r="B26" s="1356"/>
      <c r="C26" s="1332"/>
      <c r="D26" s="1154" t="s">
        <v>245</v>
      </c>
      <c r="E26" s="1263">
        <f>SUM(Summary!F37,Summary!F36,Summary!F40,Summary!F43)</f>
        <v>0</v>
      </c>
      <c r="F26" s="1333"/>
      <c r="G26" s="1333"/>
      <c r="H26" s="1334"/>
    </row>
    <row r="27" spans="1:8" x14ac:dyDescent="0.35">
      <c r="A27" s="1155"/>
      <c r="B27" s="1356"/>
      <c r="C27" s="1332"/>
      <c r="D27" s="1154" t="s">
        <v>246</v>
      </c>
      <c r="E27" s="1263">
        <f>SUM(Summary!F44,Summary!F39)</f>
        <v>0</v>
      </c>
      <c r="F27" s="1333"/>
      <c r="G27" s="1333"/>
      <c r="H27" s="1334"/>
    </row>
    <row r="28" spans="1:8" x14ac:dyDescent="0.35">
      <c r="A28" s="1155"/>
      <c r="B28" s="1356"/>
      <c r="C28" s="1332"/>
      <c r="D28" s="1154" t="s">
        <v>247</v>
      </c>
      <c r="E28" s="1263">
        <f>SUM(Summary!F46,Summary!F45)</f>
        <v>0</v>
      </c>
      <c r="F28" s="1333"/>
      <c r="G28" s="1333"/>
      <c r="H28" s="1334"/>
    </row>
    <row r="29" spans="1:8" ht="29" x14ac:dyDescent="0.35">
      <c r="A29" s="1155"/>
      <c r="B29" s="1356"/>
      <c r="C29" s="1332"/>
      <c r="D29" s="1154" t="s">
        <v>1982</v>
      </c>
      <c r="E29" s="1233"/>
      <c r="F29" s="1333"/>
      <c r="G29" s="1333"/>
      <c r="H29" s="1334"/>
    </row>
    <row r="30" spans="1:8" ht="58" x14ac:dyDescent="0.35">
      <c r="A30" s="1155"/>
      <c r="B30" s="1356" t="s">
        <v>1970</v>
      </c>
      <c r="C30" s="1332" t="s">
        <v>248</v>
      </c>
      <c r="D30" s="1154" t="s">
        <v>1976</v>
      </c>
      <c r="E30" s="1233">
        <f>Summary!F72</f>
        <v>0</v>
      </c>
      <c r="F30" s="1333"/>
      <c r="G30" s="1333"/>
      <c r="H30" s="1334"/>
    </row>
    <row r="31" spans="1:8" ht="58" x14ac:dyDescent="0.35">
      <c r="A31" s="1155"/>
      <c r="B31" s="1356"/>
      <c r="C31" s="1332"/>
      <c r="D31" s="1154" t="s">
        <v>1977</v>
      </c>
      <c r="E31" s="1233">
        <f>Summary!F73</f>
        <v>0</v>
      </c>
      <c r="F31" s="1333"/>
      <c r="G31" s="1333"/>
      <c r="H31" s="1334"/>
    </row>
    <row r="32" spans="1:8" ht="43.5" x14ac:dyDescent="0.35">
      <c r="A32" s="1155"/>
      <c r="B32" s="1356"/>
      <c r="C32" s="1332"/>
      <c r="D32" s="1154" t="s">
        <v>1978</v>
      </c>
      <c r="E32" s="1233"/>
      <c r="F32" s="1333"/>
      <c r="G32" s="1333"/>
      <c r="H32" s="1334"/>
    </row>
    <row r="33" spans="1:9" ht="43.5" x14ac:dyDescent="0.35">
      <c r="A33" s="1155"/>
      <c r="B33" s="1356"/>
      <c r="C33" s="1332"/>
      <c r="D33" s="1154" t="s">
        <v>1979</v>
      </c>
      <c r="E33" s="1233"/>
      <c r="F33" s="1333"/>
      <c r="G33" s="1333"/>
      <c r="H33" s="1334"/>
    </row>
    <row r="34" spans="1:9" x14ac:dyDescent="0.35">
      <c r="A34" s="1155"/>
      <c r="B34" s="1356"/>
      <c r="C34" s="1332"/>
      <c r="D34" s="1154" t="s">
        <v>249</v>
      </c>
      <c r="E34" s="1263">
        <f>SUM('Product Transport'!B5:B6,'Product Transport'!B8)</f>
        <v>0</v>
      </c>
      <c r="F34" s="1333"/>
      <c r="G34" s="1333"/>
      <c r="H34" s="1334"/>
    </row>
    <row r="35" spans="1:9" ht="58" x14ac:dyDescent="0.35">
      <c r="A35" s="1155"/>
      <c r="B35" s="1356"/>
      <c r="C35" s="1332"/>
      <c r="D35" s="1154" t="s">
        <v>1980</v>
      </c>
      <c r="E35" s="1233">
        <f>SUM(Summary!F68,Summary!F75,Summary!F58)</f>
        <v>0</v>
      </c>
      <c r="F35" s="1333"/>
      <c r="G35" s="1333"/>
      <c r="H35" s="1334"/>
    </row>
    <row r="36" spans="1:9" ht="43.5" x14ac:dyDescent="0.35">
      <c r="A36" s="1155"/>
      <c r="B36" s="1158" t="s">
        <v>81</v>
      </c>
      <c r="C36" s="1332" t="s">
        <v>250</v>
      </c>
      <c r="D36" s="1154" t="s">
        <v>251</v>
      </c>
      <c r="E36" s="1233">
        <f>Summary!F67</f>
        <v>0</v>
      </c>
      <c r="F36" s="1333"/>
      <c r="G36" s="1333"/>
      <c r="H36" s="1334"/>
    </row>
    <row r="37" spans="1:9" x14ac:dyDescent="0.35">
      <c r="A37" s="1155"/>
      <c r="B37" s="1158" t="s">
        <v>1971</v>
      </c>
      <c r="C37" s="1332"/>
      <c r="D37" s="1154" t="s">
        <v>252</v>
      </c>
      <c r="E37" s="1263">
        <f>Summary!F68</f>
        <v>0</v>
      </c>
      <c r="F37" s="1333"/>
      <c r="G37" s="1333"/>
      <c r="H37" s="1334"/>
    </row>
    <row r="38" spans="1:9" x14ac:dyDescent="0.35">
      <c r="A38" s="1155"/>
      <c r="B38" s="1356" t="s">
        <v>1972</v>
      </c>
      <c r="C38" s="1332" t="s">
        <v>253</v>
      </c>
      <c r="D38" s="1154" t="s">
        <v>254</v>
      </c>
      <c r="E38" s="1263">
        <f>Summary!F91</f>
        <v>0</v>
      </c>
      <c r="F38" s="1333"/>
      <c r="G38" s="1333"/>
      <c r="H38" s="1334"/>
    </row>
    <row r="39" spans="1:9" x14ac:dyDescent="0.35">
      <c r="A39" s="1155"/>
      <c r="B39" s="1356"/>
      <c r="C39" s="1332"/>
      <c r="D39" s="1154" t="s">
        <v>255</v>
      </c>
      <c r="E39" s="1263">
        <f>Summary!F83</f>
        <v>0</v>
      </c>
      <c r="F39" s="1333"/>
      <c r="G39" s="1333"/>
      <c r="H39" s="1334"/>
    </row>
    <row r="40" spans="1:9" x14ac:dyDescent="0.35">
      <c r="A40" s="1155"/>
      <c r="B40" s="1158" t="s">
        <v>1971</v>
      </c>
      <c r="C40" s="1153" t="s">
        <v>256</v>
      </c>
      <c r="D40" s="1154" t="s">
        <v>257</v>
      </c>
      <c r="E40" s="1263">
        <f>SUM(Summary!F65:F66)</f>
        <v>0</v>
      </c>
      <c r="F40" s="1333"/>
      <c r="G40" s="1333"/>
      <c r="H40" s="1334"/>
    </row>
    <row r="41" spans="1:9" x14ac:dyDescent="0.35">
      <c r="A41" s="1155"/>
      <c r="B41" s="1158" t="s">
        <v>1971</v>
      </c>
      <c r="C41" s="1332" t="s">
        <v>258</v>
      </c>
      <c r="D41" s="1154" t="s">
        <v>259</v>
      </c>
      <c r="E41" s="1263">
        <f>SUM(Summary!F77)</f>
        <v>0</v>
      </c>
      <c r="F41" s="1333"/>
      <c r="G41" s="1333"/>
      <c r="H41" s="1334"/>
    </row>
    <row r="42" spans="1:9" ht="29" x14ac:dyDescent="0.35">
      <c r="A42" s="1155"/>
      <c r="B42" s="1158" t="s">
        <v>81</v>
      </c>
      <c r="C42" s="1332"/>
      <c r="D42" s="1154" t="s">
        <v>1981</v>
      </c>
      <c r="E42" s="1263" t="b">
        <f>IF(F42="Location-based",Summary!F69,IF(F42="Market-based",Summary!F70,FALSE))</f>
        <v>0</v>
      </c>
      <c r="F42" s="1333"/>
      <c r="G42" s="1333"/>
      <c r="H42" s="1334"/>
      <c r="I42" s="297" t="s">
        <v>260</v>
      </c>
    </row>
    <row r="43" spans="1:9" ht="15.65" customHeight="1" x14ac:dyDescent="0.35">
      <c r="A43" s="1155"/>
      <c r="B43" s="1357" t="s">
        <v>1973</v>
      </c>
      <c r="C43" s="1332" t="s">
        <v>261</v>
      </c>
      <c r="D43" s="1154" t="s">
        <v>262</v>
      </c>
      <c r="E43" s="1263">
        <f>Summary!F103</f>
        <v>0</v>
      </c>
      <c r="F43" s="1333"/>
      <c r="G43" s="1333"/>
      <c r="H43" s="1334"/>
    </row>
    <row r="44" spans="1:9" ht="15.65" customHeight="1" x14ac:dyDescent="0.35">
      <c r="A44" s="1155"/>
      <c r="B44" s="1357"/>
      <c r="C44" s="1332"/>
      <c r="D44" s="1154" t="s">
        <v>263</v>
      </c>
      <c r="E44" s="1263">
        <f>SUM(Summary!F101,Summary!F99)</f>
        <v>0</v>
      </c>
      <c r="F44" s="1333"/>
      <c r="G44" s="1333"/>
      <c r="H44" s="1334"/>
    </row>
    <row r="45" spans="1:9" ht="44" thickBot="1" x14ac:dyDescent="0.4">
      <c r="A45" s="1155"/>
      <c r="B45" s="298" t="s">
        <v>1974</v>
      </c>
      <c r="C45" s="1150" t="s">
        <v>167</v>
      </c>
      <c r="D45" s="299" t="s">
        <v>2018</v>
      </c>
      <c r="E45" s="1236">
        <f>Summary!F113</f>
        <v>0</v>
      </c>
      <c r="F45" s="1335" t="s">
        <v>2001</v>
      </c>
      <c r="G45" s="1336"/>
      <c r="H45" s="1337"/>
    </row>
    <row r="46" spans="1:9" ht="15.75" customHeight="1" thickBot="1" x14ac:dyDescent="0.4">
      <c r="C46" s="300"/>
      <c r="D46" s="300"/>
      <c r="E46" s="290"/>
      <c r="F46" s="289"/>
      <c r="G46" s="290"/>
      <c r="H46" s="291"/>
    </row>
    <row r="47" spans="1:9" ht="48" customHeight="1" x14ac:dyDescent="0.35">
      <c r="C47" s="1338" t="s">
        <v>264</v>
      </c>
      <c r="D47" s="1339"/>
      <c r="E47" s="1225" t="s">
        <v>2015</v>
      </c>
      <c r="F47" s="1340" t="s">
        <v>265</v>
      </c>
      <c r="G47" s="1341"/>
      <c r="H47" s="1342"/>
    </row>
    <row r="48" spans="1:9" ht="21" customHeight="1" x14ac:dyDescent="0.35">
      <c r="C48" s="1326" t="s">
        <v>1984</v>
      </c>
      <c r="D48" s="1327"/>
      <c r="E48" s="301">
        <f>SUM(E5:E11)</f>
        <v>0</v>
      </c>
      <c r="F48" s="1317">
        <f>IF('Auditor Worksheet'!E65=0,0,('Auditor Worksheet'!E65-'GHG Emissons Breakdown'!E48)/'Auditor Worksheet'!E65)</f>
        <v>0</v>
      </c>
      <c r="G48" s="1318"/>
      <c r="H48" s="1319"/>
    </row>
    <row r="49" spans="1:35" ht="21" customHeight="1" x14ac:dyDescent="0.35">
      <c r="C49" s="1328" t="s">
        <v>1985</v>
      </c>
      <c r="D49" s="1329"/>
      <c r="E49" s="302">
        <f>SUM(E14:E14)</f>
        <v>0</v>
      </c>
      <c r="F49" s="1317">
        <f>IF('Auditor Worksheet'!E66=0,0,('Auditor Worksheet'!E66-'GHG Emissons Breakdown'!E49)/'Auditor Worksheet'!E66)</f>
        <v>0</v>
      </c>
      <c r="G49" s="1318"/>
      <c r="H49" s="1319"/>
    </row>
    <row r="50" spans="1:35" ht="21" customHeight="1" x14ac:dyDescent="0.35">
      <c r="C50" s="1330" t="s">
        <v>1986</v>
      </c>
      <c r="D50" s="1331"/>
      <c r="E50" s="303">
        <f>SUM(E17:E45)</f>
        <v>0</v>
      </c>
      <c r="F50" s="1317">
        <f>IF('Auditor Worksheet'!E67=0,0,('Auditor Worksheet'!E67-'GHG Emissons Breakdown'!E50)/'Auditor Worksheet'!E67)</f>
        <v>0</v>
      </c>
      <c r="G50" s="1318"/>
      <c r="H50" s="1319"/>
    </row>
    <row r="51" spans="1:35" ht="21" customHeight="1" x14ac:dyDescent="0.35">
      <c r="C51" s="1315" t="s">
        <v>1987</v>
      </c>
      <c r="D51" s="1316"/>
      <c r="E51" s="304">
        <f>+E48+E49+E50</f>
        <v>0</v>
      </c>
      <c r="F51" s="1317">
        <f>IF('Auditor Worksheet'!E68=0,0,('Auditor Worksheet'!E68-'GHG Emissons Breakdown'!E51)/'Auditor Worksheet'!E68)</f>
        <v>0</v>
      </c>
      <c r="G51" s="1318"/>
      <c r="H51" s="1319"/>
    </row>
    <row r="52" spans="1:35" ht="13" customHeight="1" x14ac:dyDescent="0.35">
      <c r="C52" s="305"/>
      <c r="D52" s="306"/>
      <c r="E52" s="307"/>
      <c r="F52" s="308"/>
      <c r="G52" s="1320"/>
      <c r="H52" s="1321"/>
    </row>
    <row r="53" spans="1:35" ht="21" customHeight="1" x14ac:dyDescent="0.35">
      <c r="C53" s="1324" t="s">
        <v>266</v>
      </c>
      <c r="D53" s="1325"/>
      <c r="E53" s="311">
        <f>'Auditor Worksheet'!E70</f>
        <v>0</v>
      </c>
      <c r="F53" s="312"/>
      <c r="G53" s="1322"/>
      <c r="H53" s="1323"/>
    </row>
    <row r="54" spans="1:35" ht="21" customHeight="1" x14ac:dyDescent="0.35">
      <c r="C54" s="1324" t="s">
        <v>267</v>
      </c>
      <c r="D54" s="1325"/>
      <c r="E54" s="313" t="e">
        <f>+E51*1000/E53</f>
        <v>#DIV/0!</v>
      </c>
      <c r="F54" s="1317" t="e">
        <f>('Auditor Worksheet'!E71-'GHG Emissons Breakdown'!E54)/'Auditor Worksheet'!E71</f>
        <v>#DIV/0!</v>
      </c>
      <c r="G54" s="1318"/>
      <c r="H54" s="1319"/>
    </row>
    <row r="55" spans="1:35" ht="12" customHeight="1" x14ac:dyDescent="0.35">
      <c r="C55" s="314"/>
      <c r="D55" s="315"/>
      <c r="E55" s="316"/>
      <c r="F55" s="308"/>
      <c r="G55" s="1290"/>
      <c r="H55" s="1291"/>
    </row>
    <row r="56" spans="1:35" ht="21" customHeight="1" x14ac:dyDescent="0.35">
      <c r="C56" s="1294" t="s">
        <v>268</v>
      </c>
      <c r="D56" s="1295"/>
      <c r="E56" s="317"/>
      <c r="F56" s="318"/>
      <c r="G56" s="1292"/>
      <c r="H56" s="1293"/>
    </row>
    <row r="57" spans="1:35" ht="30" customHeight="1" thickBot="1" x14ac:dyDescent="0.4">
      <c r="C57" s="1296" t="s">
        <v>269</v>
      </c>
      <c r="D57" s="1297"/>
      <c r="E57" s="319">
        <f>'Auditor Worksheet'!E74</f>
        <v>0</v>
      </c>
      <c r="F57" s="320"/>
      <c r="G57" s="320"/>
      <c r="H57" s="321"/>
    </row>
    <row r="58" spans="1:35" ht="63" customHeight="1" x14ac:dyDescent="0.35">
      <c r="C58" s="1298" t="s">
        <v>1988</v>
      </c>
      <c r="D58" s="1299"/>
      <c r="E58" s="1300" t="s">
        <v>1990</v>
      </c>
      <c r="F58" s="1301"/>
      <c r="G58" s="1301"/>
      <c r="H58" s="1302"/>
    </row>
    <row r="59" spans="1:35" s="324" customFormat="1" ht="7.5" customHeight="1" x14ac:dyDescent="0.35">
      <c r="A59" s="1138"/>
      <c r="B59" s="322"/>
      <c r="C59" s="291"/>
      <c r="D59" s="291"/>
      <c r="E59" s="1303"/>
      <c r="F59" s="1304"/>
      <c r="G59" s="1304"/>
      <c r="H59" s="1305"/>
      <c r="I59" s="322"/>
      <c r="J59" s="322"/>
      <c r="K59" s="322"/>
      <c r="L59" s="322"/>
      <c r="M59" s="322"/>
      <c r="N59" s="322"/>
      <c r="O59" s="322"/>
      <c r="P59" s="322"/>
      <c r="Q59" s="322"/>
      <c r="R59" s="322"/>
      <c r="S59" s="322"/>
      <c r="T59" s="322"/>
      <c r="U59" s="322"/>
      <c r="V59" s="322"/>
      <c r="W59" s="322"/>
      <c r="X59" s="322"/>
      <c r="Y59" s="322"/>
      <c r="Z59" s="322"/>
      <c r="AA59" s="322"/>
      <c r="AB59" s="323"/>
      <c r="AC59" s="323"/>
      <c r="AD59" s="323"/>
      <c r="AE59" s="323"/>
      <c r="AF59" s="323"/>
      <c r="AG59" s="323"/>
      <c r="AH59" s="323"/>
      <c r="AI59" s="323"/>
    </row>
    <row r="60" spans="1:35" s="309" customFormat="1" ht="16.5" customHeight="1" x14ac:dyDescent="0.35">
      <c r="A60" s="1137"/>
      <c r="B60" s="291"/>
      <c r="C60" s="1309" t="s">
        <v>270</v>
      </c>
      <c r="D60" s="1310"/>
      <c r="E60" s="1303"/>
      <c r="F60" s="1304"/>
      <c r="G60" s="1304"/>
      <c r="H60" s="1305"/>
      <c r="I60" s="291"/>
      <c r="J60" s="291"/>
      <c r="K60" s="291"/>
      <c r="L60" s="291"/>
      <c r="M60" s="291"/>
      <c r="N60" s="291"/>
      <c r="O60" s="291"/>
      <c r="P60" s="291"/>
      <c r="Q60" s="291"/>
      <c r="R60" s="291"/>
      <c r="S60" s="291"/>
      <c r="T60" s="291"/>
      <c r="U60" s="291"/>
      <c r="V60" s="291"/>
      <c r="W60" s="291"/>
      <c r="X60" s="291"/>
      <c r="Y60" s="291"/>
      <c r="Z60" s="291"/>
      <c r="AA60" s="291"/>
    </row>
    <row r="61" spans="1:35" s="309" customFormat="1" ht="225.75" customHeight="1" x14ac:dyDescent="0.35">
      <c r="A61" s="1137"/>
      <c r="B61" s="291"/>
      <c r="C61" s="1311" t="s">
        <v>1989</v>
      </c>
      <c r="D61" s="1312"/>
      <c r="E61" s="1303"/>
      <c r="F61" s="1304"/>
      <c r="G61" s="1304"/>
      <c r="H61" s="1305"/>
      <c r="I61" s="291"/>
      <c r="J61" s="291"/>
      <c r="K61" s="291"/>
      <c r="L61" s="291"/>
      <c r="M61" s="291"/>
      <c r="N61" s="291"/>
      <c r="O61" s="291"/>
      <c r="P61" s="291"/>
      <c r="Q61" s="291"/>
      <c r="R61" s="291"/>
      <c r="S61" s="291"/>
      <c r="T61" s="291"/>
      <c r="U61" s="291"/>
      <c r="V61" s="291"/>
      <c r="W61" s="291"/>
      <c r="X61" s="291"/>
      <c r="Y61" s="291"/>
      <c r="Z61" s="291"/>
      <c r="AA61" s="291"/>
    </row>
    <row r="62" spans="1:35" ht="69" customHeight="1" x14ac:dyDescent="0.35">
      <c r="C62" s="1311"/>
      <c r="D62" s="1312"/>
      <c r="E62" s="1303"/>
      <c r="F62" s="1304"/>
      <c r="G62" s="1304"/>
      <c r="H62" s="1305"/>
    </row>
    <row r="63" spans="1:35" s="309" customFormat="1" ht="15" customHeight="1" x14ac:dyDescent="0.35">
      <c r="A63" s="1137"/>
      <c r="B63" s="291"/>
      <c r="C63" s="1311"/>
      <c r="D63" s="1312"/>
      <c r="E63" s="1303"/>
      <c r="F63" s="1304"/>
      <c r="G63" s="1304"/>
      <c r="H63" s="1305"/>
      <c r="I63" s="291"/>
      <c r="J63" s="291"/>
      <c r="K63" s="291"/>
      <c r="L63" s="291"/>
      <c r="M63" s="291"/>
      <c r="N63" s="291"/>
      <c r="O63" s="291"/>
      <c r="P63" s="291"/>
      <c r="Q63" s="291"/>
      <c r="R63" s="291"/>
      <c r="S63" s="291"/>
      <c r="T63" s="291"/>
      <c r="U63" s="291"/>
      <c r="V63" s="291"/>
      <c r="W63" s="291"/>
      <c r="X63" s="291"/>
      <c r="Y63" s="291"/>
      <c r="Z63" s="291"/>
      <c r="AA63" s="291"/>
    </row>
    <row r="64" spans="1:35" s="309" customFormat="1" ht="15" customHeight="1" x14ac:dyDescent="0.35">
      <c r="A64" s="1137"/>
      <c r="B64" s="291"/>
      <c r="C64" s="1311"/>
      <c r="D64" s="1312"/>
      <c r="E64" s="1303"/>
      <c r="F64" s="1304"/>
      <c r="G64" s="1304"/>
      <c r="H64" s="1305"/>
      <c r="I64" s="291"/>
      <c r="J64" s="291"/>
      <c r="K64" s="291"/>
      <c r="L64" s="291"/>
      <c r="M64" s="291"/>
      <c r="N64" s="291"/>
      <c r="O64" s="291"/>
      <c r="P64" s="291"/>
      <c r="Q64" s="291"/>
      <c r="R64" s="291"/>
      <c r="S64" s="291"/>
      <c r="T64" s="291"/>
      <c r="U64" s="291"/>
      <c r="V64" s="291"/>
      <c r="W64" s="291"/>
      <c r="X64" s="291"/>
      <c r="Y64" s="291"/>
      <c r="Z64" s="291"/>
      <c r="AA64" s="291"/>
    </row>
    <row r="65" spans="1:27" s="309" customFormat="1" ht="15" thickBot="1" x14ac:dyDescent="0.4">
      <c r="A65" s="1137"/>
      <c r="B65" s="291"/>
      <c r="C65" s="1313"/>
      <c r="D65" s="1314"/>
      <c r="E65" s="1306"/>
      <c r="F65" s="1307"/>
      <c r="G65" s="1307"/>
      <c r="H65" s="1308"/>
      <c r="I65" s="291"/>
      <c r="J65" s="291"/>
      <c r="K65" s="291"/>
      <c r="L65" s="291"/>
      <c r="M65" s="291"/>
      <c r="N65" s="291"/>
      <c r="O65" s="291"/>
      <c r="P65" s="291"/>
      <c r="Q65" s="291"/>
      <c r="R65" s="291"/>
      <c r="S65" s="291"/>
      <c r="T65" s="291"/>
      <c r="U65" s="291"/>
      <c r="V65" s="291"/>
      <c r="W65" s="291"/>
      <c r="X65" s="291"/>
      <c r="Y65" s="291"/>
      <c r="Z65" s="291"/>
      <c r="AA65" s="291"/>
    </row>
    <row r="66" spans="1:27" s="309" customFormat="1" x14ac:dyDescent="0.35">
      <c r="A66" s="1137"/>
      <c r="B66" s="291"/>
      <c r="C66" s="325"/>
      <c r="D66" s="326"/>
      <c r="E66" s="327"/>
      <c r="F66" s="328"/>
      <c r="G66" s="327"/>
      <c r="H66" s="291"/>
      <c r="I66" s="291"/>
      <c r="J66" s="291"/>
      <c r="K66" s="291"/>
      <c r="L66" s="291"/>
      <c r="M66" s="291"/>
      <c r="N66" s="291"/>
      <c r="O66" s="291"/>
      <c r="P66" s="291"/>
      <c r="Q66" s="291"/>
      <c r="R66" s="291"/>
      <c r="S66" s="291"/>
      <c r="T66" s="291"/>
      <c r="U66" s="291"/>
      <c r="V66" s="291"/>
      <c r="W66" s="291"/>
      <c r="X66" s="291"/>
      <c r="Y66" s="291"/>
      <c r="Z66" s="291"/>
      <c r="AA66" s="291"/>
    </row>
    <row r="67" spans="1:27" s="309" customFormat="1" x14ac:dyDescent="0.35">
      <c r="A67" s="1137"/>
      <c r="B67" s="291"/>
      <c r="C67" s="291"/>
      <c r="D67" s="291"/>
      <c r="E67" s="327"/>
      <c r="F67" s="328"/>
      <c r="G67" s="327"/>
      <c r="H67" s="291"/>
      <c r="I67" s="291"/>
      <c r="J67" s="291"/>
      <c r="K67" s="291"/>
      <c r="L67" s="291"/>
      <c r="M67" s="291"/>
      <c r="N67" s="291"/>
      <c r="O67" s="291"/>
      <c r="P67" s="291"/>
      <c r="Q67" s="291"/>
      <c r="R67" s="291"/>
      <c r="S67" s="291"/>
      <c r="T67" s="291"/>
      <c r="U67" s="291"/>
      <c r="V67" s="291"/>
      <c r="W67" s="291"/>
      <c r="X67" s="291"/>
      <c r="Y67" s="291"/>
      <c r="Z67" s="291"/>
      <c r="AA67" s="291"/>
    </row>
    <row r="68" spans="1:27" s="309" customFormat="1" x14ac:dyDescent="0.35">
      <c r="A68" s="1137"/>
      <c r="B68" s="291"/>
      <c r="C68" s="291"/>
      <c r="D68" s="291"/>
      <c r="E68" s="327"/>
      <c r="F68" s="328"/>
      <c r="G68" s="327"/>
      <c r="H68" s="291"/>
      <c r="I68" s="291"/>
      <c r="J68" s="291"/>
      <c r="K68" s="291"/>
      <c r="L68" s="291"/>
      <c r="M68" s="291"/>
      <c r="N68" s="291"/>
      <c r="O68" s="291"/>
      <c r="P68" s="291"/>
      <c r="Q68" s="291"/>
      <c r="R68" s="291"/>
      <c r="S68" s="291"/>
      <c r="T68" s="291"/>
      <c r="U68" s="291"/>
      <c r="V68" s="291"/>
      <c r="W68" s="291"/>
      <c r="X68" s="291"/>
      <c r="Y68" s="291"/>
      <c r="Z68" s="291"/>
      <c r="AA68" s="291"/>
    </row>
    <row r="69" spans="1:27" s="309" customFormat="1" x14ac:dyDescent="0.35">
      <c r="A69" s="1137"/>
      <c r="B69" s="291"/>
      <c r="C69" s="291"/>
      <c r="D69" s="291"/>
      <c r="E69" s="327"/>
      <c r="F69" s="328"/>
      <c r="G69" s="327"/>
      <c r="H69" s="291"/>
      <c r="I69" s="291"/>
      <c r="J69" s="291"/>
      <c r="K69" s="291"/>
      <c r="L69" s="291"/>
      <c r="M69" s="291"/>
      <c r="N69" s="291"/>
      <c r="O69" s="291"/>
      <c r="P69" s="291"/>
      <c r="Q69" s="291"/>
      <c r="R69" s="291"/>
      <c r="S69" s="291"/>
      <c r="T69" s="291"/>
      <c r="U69" s="291"/>
      <c r="V69" s="291"/>
      <c r="W69" s="291"/>
      <c r="X69" s="291"/>
      <c r="Y69" s="291"/>
      <c r="Z69" s="291"/>
      <c r="AA69" s="291"/>
    </row>
    <row r="70" spans="1:27" s="309" customFormat="1" x14ac:dyDescent="0.35">
      <c r="A70" s="1137"/>
      <c r="B70" s="291"/>
      <c r="C70" s="291"/>
      <c r="D70" s="291"/>
      <c r="E70" s="327"/>
      <c r="F70" s="328"/>
      <c r="G70" s="327"/>
      <c r="H70" s="291"/>
      <c r="I70" s="291"/>
      <c r="J70" s="291"/>
      <c r="K70" s="291"/>
      <c r="L70" s="291"/>
      <c r="M70" s="291"/>
      <c r="N70" s="291"/>
      <c r="O70" s="291"/>
      <c r="P70" s="291"/>
      <c r="Q70" s="291"/>
      <c r="R70" s="291"/>
      <c r="S70" s="291"/>
      <c r="T70" s="291"/>
      <c r="U70" s="291"/>
      <c r="V70" s="291"/>
      <c r="W70" s="291"/>
      <c r="X70" s="291"/>
      <c r="Y70" s="291"/>
      <c r="Z70" s="291"/>
      <c r="AA70" s="291"/>
    </row>
    <row r="71" spans="1:27" s="309" customFormat="1" x14ac:dyDescent="0.35">
      <c r="A71" s="1137"/>
      <c r="B71" s="291"/>
      <c r="C71" s="291"/>
      <c r="D71" s="291"/>
      <c r="E71" s="327"/>
      <c r="F71" s="328"/>
      <c r="G71" s="327"/>
      <c r="H71" s="291"/>
      <c r="I71" s="291"/>
      <c r="J71" s="291"/>
      <c r="K71" s="291"/>
      <c r="L71" s="291"/>
      <c r="M71" s="291"/>
      <c r="N71" s="291"/>
      <c r="O71" s="291"/>
      <c r="P71" s="291"/>
      <c r="Q71" s="291"/>
      <c r="R71" s="291"/>
      <c r="S71" s="291"/>
      <c r="T71" s="291"/>
      <c r="U71" s="291"/>
      <c r="V71" s="291"/>
      <c r="W71" s="291"/>
      <c r="X71" s="291"/>
      <c r="Y71" s="291"/>
      <c r="Z71" s="291"/>
      <c r="AA71" s="291"/>
    </row>
    <row r="72" spans="1:27" s="309" customFormat="1" x14ac:dyDescent="0.35">
      <c r="A72" s="1137"/>
      <c r="B72" s="291"/>
      <c r="C72" s="291"/>
      <c r="D72" s="291"/>
      <c r="E72" s="327"/>
      <c r="F72" s="328"/>
      <c r="G72" s="327"/>
      <c r="H72" s="291"/>
      <c r="I72" s="291"/>
      <c r="J72" s="291"/>
      <c r="K72" s="291"/>
      <c r="L72" s="291"/>
      <c r="M72" s="291"/>
      <c r="N72" s="291"/>
      <c r="O72" s="291"/>
      <c r="P72" s="291"/>
      <c r="Q72" s="291"/>
      <c r="R72" s="291"/>
      <c r="S72" s="291"/>
      <c r="T72" s="291"/>
      <c r="U72" s="291"/>
      <c r="V72" s="291"/>
      <c r="W72" s="291"/>
      <c r="X72" s="291"/>
      <c r="Y72" s="291"/>
      <c r="Z72" s="291"/>
      <c r="AA72" s="291"/>
    </row>
    <row r="73" spans="1:27" s="309" customFormat="1" x14ac:dyDescent="0.35">
      <c r="A73" s="1137"/>
      <c r="B73" s="291"/>
      <c r="C73" s="291"/>
      <c r="D73" s="291"/>
      <c r="E73" s="327"/>
      <c r="F73" s="328"/>
      <c r="G73" s="327"/>
      <c r="H73" s="291"/>
      <c r="I73" s="291"/>
      <c r="J73" s="291"/>
      <c r="K73" s="291"/>
      <c r="L73" s="291"/>
      <c r="M73" s="291"/>
      <c r="N73" s="291"/>
      <c r="O73" s="291"/>
      <c r="P73" s="291"/>
      <c r="Q73" s="291"/>
      <c r="R73" s="291"/>
      <c r="S73" s="291"/>
      <c r="T73" s="291"/>
      <c r="U73" s="291"/>
      <c r="V73" s="291"/>
      <c r="W73" s="291"/>
      <c r="X73" s="291"/>
      <c r="Y73" s="291"/>
      <c r="Z73" s="291"/>
      <c r="AA73" s="291"/>
    </row>
    <row r="74" spans="1:27" s="309" customFormat="1" x14ac:dyDescent="0.35">
      <c r="A74" s="1137"/>
      <c r="B74" s="291"/>
      <c r="C74" s="291"/>
      <c r="D74" s="291"/>
      <c r="E74" s="327"/>
      <c r="F74" s="328"/>
      <c r="G74" s="327"/>
      <c r="H74" s="291"/>
      <c r="I74" s="291"/>
      <c r="J74" s="291"/>
      <c r="K74" s="291"/>
      <c r="L74" s="291"/>
      <c r="M74" s="291"/>
      <c r="N74" s="291"/>
      <c r="O74" s="291"/>
      <c r="P74" s="291"/>
      <c r="Q74" s="291"/>
      <c r="R74" s="291"/>
      <c r="S74" s="291"/>
      <c r="T74" s="291"/>
      <c r="U74" s="291"/>
      <c r="V74" s="291"/>
      <c r="W74" s="291"/>
      <c r="X74" s="291"/>
      <c r="Y74" s="291"/>
      <c r="Z74" s="291"/>
      <c r="AA74" s="291"/>
    </row>
    <row r="75" spans="1:27" s="309" customFormat="1" x14ac:dyDescent="0.35">
      <c r="A75" s="1137"/>
      <c r="B75" s="291"/>
      <c r="C75" s="291"/>
      <c r="D75" s="291"/>
      <c r="E75" s="327"/>
      <c r="F75" s="328"/>
      <c r="G75" s="327"/>
      <c r="H75" s="291"/>
      <c r="I75" s="291"/>
      <c r="J75" s="291"/>
      <c r="K75" s="291"/>
      <c r="L75" s="291"/>
      <c r="M75" s="291"/>
      <c r="N75" s="291"/>
      <c r="O75" s="291"/>
      <c r="P75" s="291"/>
      <c r="Q75" s="291"/>
      <c r="R75" s="291"/>
      <c r="S75" s="291"/>
      <c r="T75" s="291"/>
      <c r="U75" s="291"/>
      <c r="V75" s="291"/>
      <c r="W75" s="291"/>
      <c r="X75" s="291"/>
      <c r="Y75" s="291"/>
      <c r="Z75" s="291"/>
      <c r="AA75" s="291"/>
    </row>
    <row r="76" spans="1:27" s="309" customFormat="1" x14ac:dyDescent="0.35">
      <c r="A76" s="1137"/>
      <c r="B76" s="291"/>
      <c r="C76" s="291"/>
      <c r="D76" s="291"/>
      <c r="E76" s="327"/>
      <c r="F76" s="328"/>
      <c r="G76" s="327"/>
      <c r="H76" s="291"/>
      <c r="I76" s="291"/>
      <c r="J76" s="291"/>
      <c r="K76" s="291"/>
      <c r="L76" s="291"/>
      <c r="M76" s="291"/>
      <c r="N76" s="291"/>
      <c r="O76" s="291"/>
      <c r="P76" s="291"/>
      <c r="Q76" s="291"/>
      <c r="R76" s="291"/>
      <c r="S76" s="291"/>
      <c r="T76" s="291"/>
      <c r="U76" s="291"/>
      <c r="V76" s="291"/>
      <c r="W76" s="291"/>
      <c r="X76" s="291"/>
      <c r="Y76" s="291"/>
      <c r="Z76" s="291"/>
      <c r="AA76" s="291"/>
    </row>
    <row r="77" spans="1:27" s="309" customFormat="1" x14ac:dyDescent="0.35">
      <c r="A77" s="1137"/>
      <c r="B77" s="291"/>
      <c r="C77" s="291"/>
      <c r="D77" s="291"/>
      <c r="E77" s="327"/>
      <c r="F77" s="328"/>
      <c r="G77" s="327"/>
      <c r="H77" s="291"/>
      <c r="I77" s="291"/>
      <c r="J77" s="291"/>
      <c r="K77" s="291"/>
      <c r="L77" s="291"/>
      <c r="M77" s="291"/>
      <c r="N77" s="291"/>
      <c r="O77" s="291"/>
      <c r="P77" s="291"/>
      <c r="Q77" s="291"/>
      <c r="R77" s="291"/>
      <c r="S77" s="291"/>
      <c r="T77" s="291"/>
      <c r="U77" s="291"/>
      <c r="V77" s="291"/>
      <c r="W77" s="291"/>
      <c r="X77" s="291"/>
      <c r="Y77" s="291"/>
      <c r="Z77" s="291"/>
      <c r="AA77" s="291"/>
    </row>
    <row r="78" spans="1:27" s="309" customFormat="1" x14ac:dyDescent="0.35">
      <c r="A78" s="1137"/>
      <c r="B78" s="291"/>
      <c r="C78" s="291"/>
      <c r="D78" s="291"/>
      <c r="E78" s="327"/>
      <c r="F78" s="328"/>
      <c r="G78" s="327"/>
      <c r="H78" s="291"/>
      <c r="I78" s="291"/>
      <c r="J78" s="291"/>
      <c r="K78" s="291"/>
      <c r="L78" s="291"/>
      <c r="M78" s="291"/>
      <c r="N78" s="291"/>
      <c r="O78" s="291"/>
      <c r="P78" s="291"/>
      <c r="Q78" s="291"/>
      <c r="R78" s="291"/>
      <c r="S78" s="291"/>
      <c r="T78" s="291"/>
      <c r="U78" s="291"/>
      <c r="V78" s="291"/>
      <c r="W78" s="291"/>
      <c r="X78" s="291"/>
      <c r="Y78" s="291"/>
      <c r="Z78" s="291"/>
      <c r="AA78" s="291"/>
    </row>
    <row r="79" spans="1:27" s="309" customFormat="1" x14ac:dyDescent="0.35">
      <c r="A79" s="1137"/>
      <c r="B79" s="291"/>
      <c r="C79" s="291"/>
      <c r="D79" s="291"/>
      <c r="E79" s="327"/>
      <c r="F79" s="328"/>
      <c r="G79" s="327"/>
      <c r="H79" s="291"/>
      <c r="I79" s="291"/>
      <c r="J79" s="291"/>
      <c r="K79" s="291"/>
      <c r="L79" s="291"/>
      <c r="M79" s="291"/>
      <c r="N79" s="291"/>
      <c r="O79" s="291"/>
      <c r="P79" s="291"/>
      <c r="Q79" s="291"/>
      <c r="R79" s="291"/>
      <c r="S79" s="291"/>
      <c r="T79" s="291"/>
      <c r="U79" s="291"/>
      <c r="V79" s="291"/>
      <c r="W79" s="291"/>
      <c r="X79" s="291"/>
      <c r="Y79" s="291"/>
      <c r="Z79" s="291"/>
      <c r="AA79" s="291"/>
    </row>
    <row r="80" spans="1:27" s="309" customFormat="1" x14ac:dyDescent="0.35">
      <c r="A80" s="1137"/>
      <c r="B80" s="291"/>
      <c r="C80" s="291"/>
      <c r="D80" s="291"/>
      <c r="E80" s="327"/>
      <c r="F80" s="328"/>
      <c r="G80" s="327"/>
      <c r="H80" s="291"/>
      <c r="I80" s="291"/>
      <c r="J80" s="291"/>
      <c r="K80" s="291"/>
      <c r="L80" s="291"/>
      <c r="M80" s="291"/>
      <c r="N80" s="291"/>
      <c r="O80" s="291"/>
      <c r="P80" s="291"/>
      <c r="Q80" s="291"/>
      <c r="R80" s="291"/>
      <c r="S80" s="291"/>
      <c r="T80" s="291"/>
      <c r="U80" s="291"/>
      <c r="V80" s="291"/>
      <c r="W80" s="291"/>
      <c r="X80" s="291"/>
      <c r="Y80" s="291"/>
      <c r="Z80" s="291"/>
      <c r="AA80" s="291"/>
    </row>
    <row r="81" spans="1:27" s="309" customFormat="1" x14ac:dyDescent="0.35">
      <c r="A81" s="1137"/>
      <c r="B81" s="291"/>
      <c r="C81" s="291"/>
      <c r="D81" s="291"/>
      <c r="E81" s="327"/>
      <c r="F81" s="328"/>
      <c r="G81" s="327"/>
      <c r="H81" s="291"/>
      <c r="I81" s="291"/>
      <c r="J81" s="291"/>
      <c r="K81" s="291"/>
      <c r="L81" s="291"/>
      <c r="M81" s="291"/>
      <c r="N81" s="291"/>
      <c r="O81" s="291"/>
      <c r="P81" s="291"/>
      <c r="Q81" s="291"/>
      <c r="R81" s="291"/>
      <c r="S81" s="291"/>
      <c r="T81" s="291"/>
      <c r="U81" s="291"/>
      <c r="V81" s="291"/>
      <c r="W81" s="291"/>
      <c r="X81" s="291"/>
      <c r="Y81" s="291"/>
      <c r="Z81" s="291"/>
      <c r="AA81" s="291"/>
    </row>
    <row r="82" spans="1:27" s="309" customFormat="1" x14ac:dyDescent="0.35">
      <c r="A82" s="1137"/>
      <c r="B82" s="291"/>
      <c r="C82" s="291"/>
      <c r="D82" s="291"/>
      <c r="E82" s="327"/>
      <c r="F82" s="328"/>
      <c r="G82" s="327"/>
      <c r="H82" s="291"/>
      <c r="I82" s="291"/>
      <c r="J82" s="291"/>
      <c r="K82" s="291"/>
      <c r="L82" s="291"/>
      <c r="M82" s="291"/>
      <c r="N82" s="291"/>
      <c r="O82" s="291"/>
      <c r="P82" s="291"/>
      <c r="Q82" s="291"/>
      <c r="R82" s="291"/>
      <c r="S82" s="291"/>
      <c r="T82" s="291"/>
      <c r="U82" s="291"/>
      <c r="V82" s="291"/>
      <c r="W82" s="291"/>
      <c r="X82" s="291"/>
      <c r="Y82" s="291"/>
      <c r="Z82" s="291"/>
      <c r="AA82" s="291"/>
    </row>
    <row r="83" spans="1:27" s="309" customFormat="1" x14ac:dyDescent="0.35">
      <c r="A83" s="1137"/>
      <c r="B83" s="291"/>
      <c r="C83" s="291"/>
      <c r="D83" s="291"/>
      <c r="E83" s="327"/>
      <c r="F83" s="328"/>
      <c r="G83" s="327"/>
      <c r="H83" s="291"/>
      <c r="I83" s="291"/>
      <c r="J83" s="291"/>
      <c r="K83" s="291"/>
      <c r="L83" s="291"/>
      <c r="M83" s="291"/>
      <c r="N83" s="291"/>
      <c r="O83" s="291"/>
      <c r="P83" s="291"/>
      <c r="Q83" s="291"/>
      <c r="R83" s="291"/>
      <c r="S83" s="291"/>
      <c r="T83" s="291"/>
      <c r="U83" s="291"/>
      <c r="V83" s="291"/>
      <c r="W83" s="291"/>
      <c r="X83" s="291"/>
      <c r="Y83" s="291"/>
      <c r="Z83" s="291"/>
      <c r="AA83" s="291"/>
    </row>
    <row r="84" spans="1:27" s="309" customFormat="1" x14ac:dyDescent="0.35">
      <c r="A84" s="1137"/>
      <c r="B84" s="291"/>
      <c r="C84" s="291"/>
      <c r="D84" s="291"/>
      <c r="E84" s="327"/>
      <c r="F84" s="328"/>
      <c r="G84" s="327"/>
      <c r="H84" s="291"/>
      <c r="I84" s="291"/>
      <c r="J84" s="291"/>
      <c r="K84" s="291"/>
      <c r="L84" s="291"/>
      <c r="M84" s="291"/>
      <c r="N84" s="291"/>
      <c r="O84" s="291"/>
      <c r="P84" s="291"/>
      <c r="Q84" s="291"/>
      <c r="R84" s="291"/>
      <c r="S84" s="291"/>
      <c r="T84" s="291"/>
      <c r="U84" s="291"/>
      <c r="V84" s="291"/>
      <c r="W84" s="291"/>
      <c r="X84" s="291"/>
      <c r="Y84" s="291"/>
      <c r="Z84" s="291"/>
      <c r="AA84" s="291"/>
    </row>
    <row r="85" spans="1:27" s="309" customFormat="1" x14ac:dyDescent="0.35">
      <c r="A85" s="1137"/>
      <c r="B85" s="291"/>
      <c r="C85" s="291"/>
      <c r="D85" s="291"/>
      <c r="E85" s="327"/>
      <c r="F85" s="328"/>
      <c r="G85" s="327"/>
      <c r="H85" s="291"/>
      <c r="I85" s="291"/>
      <c r="J85" s="291"/>
      <c r="K85" s="291"/>
      <c r="L85" s="291"/>
      <c r="M85" s="291"/>
      <c r="N85" s="291"/>
      <c r="O85" s="291"/>
      <c r="P85" s="291"/>
      <c r="Q85" s="291"/>
      <c r="R85" s="291"/>
      <c r="S85" s="291"/>
      <c r="T85" s="291"/>
      <c r="U85" s="291"/>
      <c r="V85" s="291"/>
      <c r="W85" s="291"/>
      <c r="X85" s="291"/>
      <c r="Y85" s="291"/>
      <c r="Z85" s="291"/>
      <c r="AA85" s="291"/>
    </row>
    <row r="86" spans="1:27" s="309" customFormat="1" x14ac:dyDescent="0.35">
      <c r="A86" s="1137"/>
      <c r="B86" s="291"/>
      <c r="C86" s="291"/>
      <c r="D86" s="291"/>
      <c r="E86" s="327"/>
      <c r="F86" s="328"/>
      <c r="G86" s="327"/>
      <c r="H86" s="291"/>
      <c r="I86" s="291"/>
      <c r="J86" s="291"/>
      <c r="K86" s="291"/>
      <c r="L86" s="291"/>
      <c r="M86" s="291"/>
      <c r="N86" s="291"/>
      <c r="O86" s="291"/>
      <c r="P86" s="291"/>
      <c r="Q86" s="291"/>
      <c r="R86" s="291"/>
      <c r="S86" s="291"/>
      <c r="T86" s="291"/>
      <c r="U86" s="291"/>
      <c r="V86" s="291"/>
      <c r="W86" s="291"/>
      <c r="X86" s="291"/>
      <c r="Y86" s="291"/>
      <c r="Z86" s="291"/>
      <c r="AA86" s="291"/>
    </row>
    <row r="87" spans="1:27" s="309" customFormat="1" x14ac:dyDescent="0.35">
      <c r="A87" s="1137"/>
      <c r="B87" s="291"/>
      <c r="C87" s="291"/>
      <c r="D87" s="291"/>
      <c r="E87" s="327"/>
      <c r="F87" s="328"/>
      <c r="G87" s="327"/>
      <c r="H87" s="291"/>
      <c r="I87" s="291"/>
      <c r="J87" s="291"/>
      <c r="K87" s="291"/>
      <c r="L87" s="291"/>
      <c r="M87" s="291"/>
      <c r="N87" s="291"/>
      <c r="O87" s="291"/>
      <c r="P87" s="291"/>
      <c r="Q87" s="291"/>
      <c r="R87" s="291"/>
      <c r="S87" s="291"/>
      <c r="T87" s="291"/>
      <c r="U87" s="291"/>
      <c r="V87" s="291"/>
      <c r="W87" s="291"/>
      <c r="X87" s="291"/>
      <c r="Y87" s="291"/>
      <c r="Z87" s="291"/>
      <c r="AA87" s="291"/>
    </row>
    <row r="88" spans="1:27" s="309" customFormat="1" x14ac:dyDescent="0.35">
      <c r="A88" s="1137"/>
      <c r="B88" s="291"/>
      <c r="C88" s="291"/>
      <c r="D88" s="291"/>
      <c r="E88" s="327"/>
      <c r="F88" s="328"/>
      <c r="G88" s="327"/>
      <c r="H88" s="291"/>
      <c r="I88" s="291"/>
      <c r="J88" s="291"/>
      <c r="K88" s="291"/>
      <c r="L88" s="291"/>
      <c r="M88" s="291"/>
      <c r="N88" s="291"/>
      <c r="O88" s="291"/>
      <c r="P88" s="291"/>
      <c r="Q88" s="291"/>
      <c r="R88" s="291"/>
      <c r="S88" s="291"/>
      <c r="T88" s="291"/>
      <c r="U88" s="291"/>
      <c r="V88" s="291"/>
      <c r="W88" s="291"/>
      <c r="X88" s="291"/>
      <c r="Y88" s="291"/>
      <c r="Z88" s="291"/>
      <c r="AA88" s="291"/>
    </row>
    <row r="89" spans="1:27" s="309" customFormat="1" x14ac:dyDescent="0.35">
      <c r="A89" s="1137"/>
      <c r="B89" s="291"/>
      <c r="C89" s="291"/>
      <c r="D89" s="291"/>
      <c r="E89" s="327"/>
      <c r="F89" s="328"/>
      <c r="G89" s="327"/>
      <c r="H89" s="291"/>
      <c r="I89" s="291"/>
      <c r="J89" s="291"/>
      <c r="K89" s="291"/>
      <c r="L89" s="291"/>
      <c r="M89" s="291"/>
      <c r="N89" s="291"/>
      <c r="O89" s="291"/>
      <c r="P89" s="291"/>
      <c r="Q89" s="291"/>
      <c r="R89" s="291"/>
      <c r="S89" s="291"/>
      <c r="T89" s="291"/>
      <c r="U89" s="291"/>
      <c r="V89" s="291"/>
      <c r="W89" s="291"/>
      <c r="X89" s="291"/>
      <c r="Y89" s="291"/>
      <c r="Z89" s="291"/>
      <c r="AA89" s="291"/>
    </row>
    <row r="90" spans="1:27" s="309" customFormat="1" x14ac:dyDescent="0.35">
      <c r="A90" s="1137"/>
      <c r="B90" s="291"/>
      <c r="C90" s="291"/>
      <c r="D90" s="291"/>
      <c r="E90" s="327"/>
      <c r="F90" s="328"/>
      <c r="G90" s="327"/>
      <c r="H90" s="291"/>
      <c r="I90" s="291"/>
      <c r="J90" s="291"/>
      <c r="K90" s="291"/>
      <c r="L90" s="291"/>
      <c r="M90" s="291"/>
      <c r="N90" s="291"/>
      <c r="O90" s="291"/>
      <c r="P90" s="291"/>
      <c r="Q90" s="291"/>
      <c r="R90" s="291"/>
      <c r="S90" s="291"/>
      <c r="T90" s="291"/>
      <c r="U90" s="291"/>
      <c r="V90" s="291"/>
      <c r="W90" s="291"/>
      <c r="X90" s="291"/>
      <c r="Y90" s="291"/>
      <c r="Z90" s="291"/>
      <c r="AA90" s="291"/>
    </row>
    <row r="91" spans="1:27" s="309" customFormat="1" x14ac:dyDescent="0.35">
      <c r="A91" s="1137"/>
      <c r="B91" s="291"/>
      <c r="C91" s="291"/>
      <c r="D91" s="291"/>
      <c r="E91" s="327"/>
      <c r="F91" s="328"/>
      <c r="G91" s="327"/>
      <c r="H91" s="291"/>
      <c r="I91" s="291"/>
      <c r="J91" s="291"/>
      <c r="K91" s="291"/>
      <c r="L91" s="291"/>
      <c r="M91" s="291"/>
      <c r="N91" s="291"/>
      <c r="O91" s="291"/>
      <c r="P91" s="291"/>
      <c r="Q91" s="291"/>
      <c r="R91" s="291"/>
      <c r="S91" s="291"/>
      <c r="T91" s="291"/>
      <c r="U91" s="291"/>
      <c r="V91" s="291"/>
      <c r="W91" s="291"/>
      <c r="X91" s="291"/>
      <c r="Y91" s="291"/>
      <c r="Z91" s="291"/>
      <c r="AA91" s="291"/>
    </row>
    <row r="92" spans="1:27" s="309" customFormat="1" x14ac:dyDescent="0.35">
      <c r="A92" s="1137"/>
      <c r="B92" s="291"/>
      <c r="C92" s="291"/>
      <c r="D92" s="291"/>
      <c r="E92" s="327"/>
      <c r="F92" s="328"/>
      <c r="G92" s="327"/>
      <c r="H92" s="291"/>
      <c r="I92" s="291"/>
      <c r="J92" s="291"/>
      <c r="K92" s="291"/>
      <c r="L92" s="291"/>
      <c r="M92" s="291"/>
      <c r="N92" s="291"/>
      <c r="O92" s="291"/>
      <c r="P92" s="291"/>
      <c r="Q92" s="291"/>
      <c r="R92" s="291"/>
      <c r="S92" s="291"/>
      <c r="T92" s="291"/>
      <c r="U92" s="291"/>
      <c r="V92" s="291"/>
      <c r="W92" s="291"/>
      <c r="X92" s="291"/>
      <c r="Y92" s="291"/>
      <c r="Z92" s="291"/>
      <c r="AA92" s="291"/>
    </row>
    <row r="93" spans="1:27" s="309" customFormat="1" x14ac:dyDescent="0.35">
      <c r="A93" s="1137"/>
      <c r="B93" s="291"/>
      <c r="C93" s="291"/>
      <c r="D93" s="291"/>
      <c r="E93" s="327"/>
      <c r="F93" s="328"/>
      <c r="G93" s="327"/>
      <c r="H93" s="291"/>
      <c r="I93" s="291"/>
      <c r="J93" s="291"/>
      <c r="K93" s="291"/>
      <c r="L93" s="291"/>
      <c r="M93" s="291"/>
      <c r="N93" s="291"/>
      <c r="O93" s="291"/>
      <c r="P93" s="291"/>
      <c r="Q93" s="291"/>
      <c r="R93" s="291"/>
      <c r="S93" s="291"/>
      <c r="T93" s="291"/>
      <c r="U93" s="291"/>
      <c r="V93" s="291"/>
      <c r="W93" s="291"/>
      <c r="X93" s="291"/>
      <c r="Y93" s="291"/>
      <c r="Z93" s="291"/>
      <c r="AA93" s="291"/>
    </row>
    <row r="94" spans="1:27" s="309" customFormat="1" x14ac:dyDescent="0.35">
      <c r="A94" s="1137"/>
      <c r="B94" s="291"/>
      <c r="C94" s="291"/>
      <c r="D94" s="291"/>
      <c r="E94" s="327"/>
      <c r="F94" s="328"/>
      <c r="G94" s="327"/>
      <c r="H94" s="291"/>
      <c r="I94" s="291"/>
      <c r="J94" s="291"/>
      <c r="K94" s="291"/>
      <c r="L94" s="291"/>
      <c r="M94" s="291"/>
      <c r="N94" s="291"/>
      <c r="O94" s="291"/>
      <c r="P94" s="291"/>
      <c r="Q94" s="291"/>
      <c r="R94" s="291"/>
      <c r="S94" s="291"/>
      <c r="T94" s="291"/>
      <c r="U94" s="291"/>
      <c r="V94" s="291"/>
      <c r="W94" s="291"/>
      <c r="X94" s="291"/>
      <c r="Y94" s="291"/>
      <c r="Z94" s="291"/>
      <c r="AA94" s="291"/>
    </row>
    <row r="95" spans="1:27" s="309" customFormat="1" x14ac:dyDescent="0.35">
      <c r="A95" s="1137"/>
      <c r="B95" s="291"/>
      <c r="C95" s="291"/>
      <c r="D95" s="291"/>
      <c r="E95" s="327"/>
      <c r="F95" s="328"/>
      <c r="G95" s="327"/>
      <c r="H95" s="291"/>
      <c r="I95" s="291"/>
      <c r="J95" s="291"/>
      <c r="K95" s="291"/>
      <c r="L95" s="291"/>
      <c r="M95" s="291"/>
      <c r="N95" s="291"/>
      <c r="O95" s="291"/>
      <c r="P95" s="291"/>
      <c r="Q95" s="291"/>
      <c r="R95" s="291"/>
      <c r="S95" s="291"/>
      <c r="T95" s="291"/>
      <c r="U95" s="291"/>
      <c r="V95" s="291"/>
      <c r="W95" s="291"/>
      <c r="X95" s="291"/>
      <c r="Y95" s="291"/>
      <c r="Z95" s="291"/>
      <c r="AA95" s="291"/>
    </row>
    <row r="96" spans="1:27" s="309" customFormat="1" x14ac:dyDescent="0.35">
      <c r="A96" s="1137"/>
      <c r="B96" s="291"/>
      <c r="C96" s="291"/>
      <c r="D96" s="291"/>
      <c r="E96" s="327"/>
      <c r="F96" s="328"/>
      <c r="G96" s="327"/>
      <c r="H96" s="291"/>
      <c r="I96" s="291"/>
      <c r="J96" s="291"/>
      <c r="K96" s="291"/>
      <c r="L96" s="291"/>
      <c r="M96" s="291"/>
      <c r="N96" s="291"/>
      <c r="O96" s="291"/>
      <c r="P96" s="291"/>
      <c r="Q96" s="291"/>
      <c r="R96" s="291"/>
      <c r="S96" s="291"/>
      <c r="T96" s="291"/>
      <c r="U96" s="291"/>
      <c r="V96" s="291"/>
      <c r="W96" s="291"/>
      <c r="X96" s="291"/>
      <c r="Y96" s="291"/>
      <c r="Z96" s="291"/>
      <c r="AA96" s="291"/>
    </row>
    <row r="97" spans="1:27" s="309" customFormat="1" x14ac:dyDescent="0.35">
      <c r="A97" s="1137"/>
      <c r="B97" s="291"/>
      <c r="C97" s="291"/>
      <c r="D97" s="291"/>
      <c r="E97" s="327"/>
      <c r="F97" s="328"/>
      <c r="G97" s="327"/>
      <c r="H97" s="291"/>
      <c r="I97" s="291"/>
      <c r="J97" s="291"/>
      <c r="K97" s="291"/>
      <c r="L97" s="291"/>
      <c r="M97" s="291"/>
      <c r="N97" s="291"/>
      <c r="O97" s="291"/>
      <c r="P97" s="291"/>
      <c r="Q97" s="291"/>
      <c r="R97" s="291"/>
      <c r="S97" s="291"/>
      <c r="T97" s="291"/>
      <c r="U97" s="291"/>
      <c r="V97" s="291"/>
      <c r="W97" s="291"/>
      <c r="X97" s="291"/>
      <c r="Y97" s="291"/>
      <c r="Z97" s="291"/>
      <c r="AA97" s="291"/>
    </row>
    <row r="98" spans="1:27" s="309" customFormat="1" x14ac:dyDescent="0.35">
      <c r="A98" s="1137"/>
      <c r="B98" s="291"/>
      <c r="C98" s="291"/>
      <c r="D98" s="291"/>
      <c r="E98" s="327"/>
      <c r="F98" s="328"/>
      <c r="G98" s="327"/>
      <c r="H98" s="291"/>
      <c r="I98" s="291"/>
      <c r="J98" s="291"/>
      <c r="K98" s="291"/>
      <c r="L98" s="291"/>
      <c r="M98" s="291"/>
      <c r="N98" s="291"/>
      <c r="O98" s="291"/>
      <c r="P98" s="291"/>
      <c r="Q98" s="291"/>
      <c r="R98" s="291"/>
      <c r="S98" s="291"/>
      <c r="T98" s="291"/>
      <c r="U98" s="291"/>
      <c r="V98" s="291"/>
      <c r="W98" s="291"/>
      <c r="X98" s="291"/>
      <c r="Y98" s="291"/>
      <c r="Z98" s="291"/>
      <c r="AA98" s="291"/>
    </row>
    <row r="99" spans="1:27" s="309" customFormat="1" x14ac:dyDescent="0.35">
      <c r="A99" s="1137"/>
      <c r="B99" s="291"/>
      <c r="C99" s="291"/>
      <c r="D99" s="291"/>
      <c r="E99" s="327"/>
      <c r="F99" s="328"/>
      <c r="G99" s="327"/>
      <c r="H99" s="291"/>
      <c r="I99" s="291"/>
      <c r="J99" s="291"/>
      <c r="K99" s="291"/>
      <c r="L99" s="291"/>
      <c r="M99" s="291"/>
      <c r="N99" s="291"/>
      <c r="O99" s="291"/>
      <c r="P99" s="291"/>
      <c r="Q99" s="291"/>
      <c r="R99" s="291"/>
      <c r="S99" s="291"/>
      <c r="T99" s="291"/>
      <c r="U99" s="291"/>
      <c r="V99" s="291"/>
      <c r="W99" s="291"/>
      <c r="X99" s="291"/>
      <c r="Y99" s="291"/>
      <c r="Z99" s="291"/>
      <c r="AA99" s="291"/>
    </row>
    <row r="100" spans="1:27" s="309" customFormat="1" x14ac:dyDescent="0.35">
      <c r="A100" s="1137"/>
      <c r="B100" s="291"/>
      <c r="C100" s="291"/>
      <c r="D100" s="291"/>
      <c r="E100" s="327"/>
      <c r="F100" s="328"/>
      <c r="G100" s="327"/>
      <c r="H100" s="291"/>
      <c r="I100" s="291"/>
      <c r="J100" s="291"/>
      <c r="K100" s="291"/>
      <c r="L100" s="291"/>
      <c r="M100" s="291"/>
      <c r="N100" s="291"/>
      <c r="O100" s="291"/>
      <c r="P100" s="291"/>
      <c r="Q100" s="291"/>
      <c r="R100" s="291"/>
      <c r="S100" s="291"/>
      <c r="T100" s="291"/>
      <c r="U100" s="291"/>
      <c r="V100" s="291"/>
      <c r="W100" s="291"/>
      <c r="X100" s="291"/>
      <c r="Y100" s="291"/>
      <c r="Z100" s="291"/>
      <c r="AA100" s="291"/>
    </row>
    <row r="101" spans="1:27" s="309" customFormat="1" x14ac:dyDescent="0.35">
      <c r="A101" s="1137"/>
      <c r="B101" s="291"/>
      <c r="C101" s="291"/>
      <c r="D101" s="291"/>
      <c r="E101" s="327"/>
      <c r="F101" s="328"/>
      <c r="G101" s="327"/>
      <c r="H101" s="291"/>
      <c r="I101" s="291"/>
      <c r="J101" s="291"/>
      <c r="K101" s="291"/>
      <c r="L101" s="291"/>
      <c r="M101" s="291"/>
      <c r="N101" s="291"/>
      <c r="O101" s="291"/>
      <c r="P101" s="291"/>
      <c r="Q101" s="291"/>
      <c r="R101" s="291"/>
      <c r="S101" s="291"/>
      <c r="T101" s="291"/>
      <c r="U101" s="291"/>
      <c r="V101" s="291"/>
      <c r="W101" s="291"/>
      <c r="X101" s="291"/>
      <c r="Y101" s="291"/>
      <c r="Z101" s="291"/>
      <c r="AA101" s="291"/>
    </row>
    <row r="102" spans="1:27" s="309" customFormat="1" x14ac:dyDescent="0.35">
      <c r="A102" s="1137"/>
      <c r="B102" s="291"/>
      <c r="C102" s="291"/>
      <c r="D102" s="291"/>
      <c r="E102" s="327"/>
      <c r="F102" s="328"/>
      <c r="G102" s="327"/>
      <c r="H102" s="291"/>
      <c r="I102" s="291"/>
      <c r="J102" s="291"/>
      <c r="K102" s="291"/>
      <c r="L102" s="291"/>
      <c r="M102" s="291"/>
      <c r="N102" s="291"/>
      <c r="O102" s="291"/>
      <c r="P102" s="291"/>
      <c r="Q102" s="291"/>
      <c r="R102" s="291"/>
      <c r="S102" s="291"/>
      <c r="T102" s="291"/>
      <c r="U102" s="291"/>
      <c r="V102" s="291"/>
      <c r="W102" s="291"/>
      <c r="X102" s="291"/>
      <c r="Y102" s="291"/>
      <c r="Z102" s="291"/>
      <c r="AA102" s="291"/>
    </row>
    <row r="103" spans="1:27" s="309" customFormat="1" x14ac:dyDescent="0.35">
      <c r="A103" s="1137"/>
      <c r="B103" s="291"/>
      <c r="C103" s="291"/>
      <c r="D103" s="291"/>
      <c r="E103" s="327"/>
      <c r="F103" s="328"/>
      <c r="G103" s="327"/>
      <c r="H103" s="291"/>
      <c r="I103" s="291"/>
      <c r="J103" s="291"/>
      <c r="K103" s="291"/>
      <c r="L103" s="291"/>
      <c r="M103" s="291"/>
      <c r="N103" s="291"/>
      <c r="O103" s="291"/>
      <c r="P103" s="291"/>
      <c r="Q103" s="291"/>
      <c r="R103" s="291"/>
      <c r="S103" s="291"/>
      <c r="T103" s="291"/>
      <c r="U103" s="291"/>
      <c r="V103" s="291"/>
      <c r="W103" s="291"/>
      <c r="X103" s="291"/>
      <c r="Y103" s="291"/>
      <c r="Z103" s="291"/>
      <c r="AA103" s="291"/>
    </row>
    <row r="104" spans="1:27" s="309" customFormat="1" x14ac:dyDescent="0.35">
      <c r="A104" s="1137"/>
      <c r="B104" s="291"/>
      <c r="C104" s="291"/>
      <c r="D104" s="291"/>
      <c r="E104" s="327"/>
      <c r="F104" s="328"/>
      <c r="G104" s="327"/>
      <c r="H104" s="291"/>
      <c r="I104" s="291"/>
      <c r="J104" s="291"/>
      <c r="K104" s="291"/>
      <c r="L104" s="291"/>
      <c r="M104" s="291"/>
      <c r="N104" s="291"/>
      <c r="O104" s="291"/>
      <c r="P104" s="291"/>
      <c r="Q104" s="291"/>
      <c r="R104" s="291"/>
      <c r="S104" s="291"/>
      <c r="T104" s="291"/>
      <c r="U104" s="291"/>
      <c r="V104" s="291"/>
      <c r="W104" s="291"/>
      <c r="X104" s="291"/>
      <c r="Y104" s="291"/>
      <c r="Z104" s="291"/>
      <c r="AA104" s="291"/>
    </row>
    <row r="105" spans="1:27" s="309" customFormat="1" x14ac:dyDescent="0.35">
      <c r="A105" s="1137"/>
      <c r="B105" s="291"/>
      <c r="C105" s="291"/>
      <c r="D105" s="291"/>
      <c r="E105" s="327"/>
      <c r="F105" s="328"/>
      <c r="G105" s="327"/>
      <c r="H105" s="291"/>
      <c r="I105" s="291"/>
      <c r="J105" s="291"/>
      <c r="K105" s="291"/>
      <c r="L105" s="291"/>
      <c r="M105" s="291"/>
      <c r="N105" s="291"/>
      <c r="O105" s="291"/>
      <c r="P105" s="291"/>
      <c r="Q105" s="291"/>
      <c r="R105" s="291"/>
      <c r="S105" s="291"/>
      <c r="T105" s="291"/>
      <c r="U105" s="291"/>
      <c r="V105" s="291"/>
      <c r="W105" s="291"/>
      <c r="X105" s="291"/>
      <c r="Y105" s="291"/>
      <c r="Z105" s="291"/>
      <c r="AA105" s="291"/>
    </row>
    <row r="106" spans="1:27" s="309" customFormat="1" x14ac:dyDescent="0.35">
      <c r="A106" s="1137"/>
      <c r="B106" s="291"/>
      <c r="C106" s="291"/>
      <c r="D106" s="291"/>
      <c r="E106" s="327"/>
      <c r="F106" s="328"/>
      <c r="G106" s="327"/>
      <c r="H106" s="291"/>
      <c r="I106" s="291"/>
      <c r="J106" s="291"/>
      <c r="K106" s="291"/>
      <c r="L106" s="291"/>
      <c r="M106" s="291"/>
      <c r="N106" s="291"/>
      <c r="O106" s="291"/>
      <c r="P106" s="291"/>
      <c r="Q106" s="291"/>
      <c r="R106" s="291"/>
      <c r="S106" s="291"/>
      <c r="T106" s="291"/>
      <c r="U106" s="291"/>
      <c r="V106" s="291"/>
      <c r="W106" s="291"/>
      <c r="X106" s="291"/>
      <c r="Y106" s="291"/>
      <c r="Z106" s="291"/>
      <c r="AA106" s="291"/>
    </row>
    <row r="107" spans="1:27" s="309" customFormat="1" x14ac:dyDescent="0.35">
      <c r="A107" s="1137"/>
      <c r="B107" s="291"/>
      <c r="C107" s="291"/>
      <c r="D107" s="291"/>
      <c r="E107" s="327"/>
      <c r="F107" s="328"/>
      <c r="G107" s="327"/>
      <c r="H107" s="291"/>
      <c r="I107" s="291"/>
      <c r="J107" s="291"/>
      <c r="K107" s="291"/>
      <c r="L107" s="291"/>
      <c r="M107" s="291"/>
      <c r="N107" s="291"/>
      <c r="O107" s="291"/>
      <c r="P107" s="291"/>
      <c r="Q107" s="291"/>
      <c r="R107" s="291"/>
      <c r="S107" s="291"/>
      <c r="T107" s="291"/>
      <c r="U107" s="291"/>
      <c r="V107" s="291"/>
      <c r="W107" s="291"/>
      <c r="X107" s="291"/>
      <c r="Y107" s="291"/>
      <c r="Z107" s="291"/>
      <c r="AA107" s="291"/>
    </row>
    <row r="108" spans="1:27" s="309" customFormat="1" x14ac:dyDescent="0.35">
      <c r="A108" s="1137"/>
      <c r="B108" s="291"/>
      <c r="C108" s="291"/>
      <c r="D108" s="291"/>
      <c r="E108" s="327"/>
      <c r="F108" s="328"/>
      <c r="G108" s="327"/>
      <c r="H108" s="291"/>
      <c r="I108" s="291"/>
      <c r="J108" s="291"/>
      <c r="K108" s="291"/>
      <c r="L108" s="291"/>
      <c r="M108" s="291"/>
      <c r="N108" s="291"/>
      <c r="O108" s="291"/>
      <c r="P108" s="291"/>
      <c r="Q108" s="291"/>
      <c r="R108" s="291"/>
      <c r="S108" s="291"/>
      <c r="T108" s="291"/>
      <c r="U108" s="291"/>
      <c r="V108" s="291"/>
      <c r="W108" s="291"/>
      <c r="X108" s="291"/>
      <c r="Y108" s="291"/>
      <c r="Z108" s="291"/>
      <c r="AA108" s="291"/>
    </row>
    <row r="109" spans="1:27" s="309" customFormat="1" x14ac:dyDescent="0.35">
      <c r="A109" s="1137"/>
      <c r="B109" s="291"/>
      <c r="C109" s="291"/>
      <c r="D109" s="291"/>
      <c r="E109" s="327"/>
      <c r="F109" s="328"/>
      <c r="G109" s="327"/>
      <c r="H109" s="291"/>
      <c r="I109" s="291"/>
      <c r="J109" s="291"/>
      <c r="K109" s="291"/>
      <c r="L109" s="291"/>
      <c r="M109" s="291"/>
      <c r="N109" s="291"/>
      <c r="O109" s="291"/>
      <c r="P109" s="291"/>
      <c r="Q109" s="291"/>
      <c r="R109" s="291"/>
      <c r="S109" s="291"/>
      <c r="T109" s="291"/>
      <c r="U109" s="291"/>
      <c r="V109" s="291"/>
      <c r="W109" s="291"/>
      <c r="X109" s="291"/>
      <c r="Y109" s="291"/>
      <c r="Z109" s="291"/>
      <c r="AA109" s="291"/>
    </row>
    <row r="110" spans="1:27" s="309" customFormat="1" x14ac:dyDescent="0.35">
      <c r="A110" s="1137"/>
      <c r="B110" s="291"/>
      <c r="C110" s="291"/>
      <c r="D110" s="291"/>
      <c r="E110" s="327"/>
      <c r="F110" s="328"/>
      <c r="G110" s="327"/>
      <c r="H110" s="291"/>
      <c r="I110" s="291"/>
      <c r="J110" s="291"/>
      <c r="K110" s="291"/>
      <c r="L110" s="291"/>
      <c r="M110" s="291"/>
      <c r="N110" s="291"/>
      <c r="O110" s="291"/>
      <c r="P110" s="291"/>
      <c r="Q110" s="291"/>
      <c r="R110" s="291"/>
      <c r="S110" s="291"/>
      <c r="T110" s="291"/>
      <c r="U110" s="291"/>
      <c r="V110" s="291"/>
      <c r="W110" s="291"/>
      <c r="X110" s="291"/>
      <c r="Y110" s="291"/>
      <c r="Z110" s="291"/>
      <c r="AA110" s="291"/>
    </row>
    <row r="111" spans="1:27" s="309" customFormat="1" x14ac:dyDescent="0.35">
      <c r="A111" s="1137"/>
      <c r="B111" s="291"/>
      <c r="C111" s="291"/>
      <c r="D111" s="291"/>
      <c r="E111" s="327"/>
      <c r="F111" s="328"/>
      <c r="G111" s="327"/>
      <c r="H111" s="291"/>
      <c r="I111" s="291"/>
      <c r="J111" s="291"/>
      <c r="K111" s="291"/>
      <c r="L111" s="291"/>
      <c r="M111" s="291"/>
      <c r="N111" s="291"/>
      <c r="O111" s="291"/>
      <c r="P111" s="291"/>
      <c r="Q111" s="291"/>
      <c r="R111" s="291"/>
      <c r="S111" s="291"/>
      <c r="T111" s="291"/>
      <c r="U111" s="291"/>
      <c r="V111" s="291"/>
      <c r="W111" s="291"/>
      <c r="X111" s="291"/>
      <c r="Y111" s="291"/>
      <c r="Z111" s="291"/>
      <c r="AA111" s="291"/>
    </row>
    <row r="112" spans="1:27" s="309" customFormat="1" x14ac:dyDescent="0.35">
      <c r="A112" s="1137"/>
      <c r="B112" s="291"/>
      <c r="C112" s="291"/>
      <c r="D112" s="291"/>
      <c r="E112" s="327"/>
      <c r="F112" s="328"/>
      <c r="G112" s="327"/>
      <c r="H112" s="291"/>
      <c r="I112" s="291"/>
      <c r="J112" s="291"/>
      <c r="K112" s="291"/>
      <c r="L112" s="291"/>
      <c r="M112" s="291"/>
      <c r="N112" s="291"/>
      <c r="O112" s="291"/>
      <c r="P112" s="291"/>
      <c r="Q112" s="291"/>
      <c r="R112" s="291"/>
      <c r="S112" s="291"/>
      <c r="T112" s="291"/>
      <c r="U112" s="291"/>
      <c r="V112" s="291"/>
      <c r="W112" s="291"/>
      <c r="X112" s="291"/>
      <c r="Y112" s="291"/>
      <c r="Z112" s="291"/>
      <c r="AA112" s="291"/>
    </row>
    <row r="113" spans="1:27" s="309" customFormat="1" x14ac:dyDescent="0.35">
      <c r="A113" s="1137"/>
      <c r="B113" s="291"/>
      <c r="C113" s="291"/>
      <c r="D113" s="291"/>
      <c r="E113" s="327"/>
      <c r="F113" s="328"/>
      <c r="G113" s="327"/>
      <c r="H113" s="291"/>
      <c r="I113" s="291"/>
      <c r="J113" s="291"/>
      <c r="K113" s="291"/>
      <c r="L113" s="291"/>
      <c r="M113" s="291"/>
      <c r="N113" s="291"/>
      <c r="O113" s="291"/>
      <c r="P113" s="291"/>
      <c r="Q113" s="291"/>
      <c r="R113" s="291"/>
      <c r="S113" s="291"/>
      <c r="T113" s="291"/>
      <c r="U113" s="291"/>
      <c r="V113" s="291"/>
      <c r="W113" s="291"/>
      <c r="X113" s="291"/>
      <c r="Y113" s="291"/>
      <c r="Z113" s="291"/>
      <c r="AA113" s="291"/>
    </row>
    <row r="114" spans="1:27" s="309" customFormat="1" x14ac:dyDescent="0.35">
      <c r="A114" s="1137"/>
      <c r="B114" s="291"/>
      <c r="C114" s="291"/>
      <c r="D114" s="291"/>
      <c r="E114" s="327"/>
      <c r="F114" s="328"/>
      <c r="G114" s="327"/>
      <c r="H114" s="291"/>
      <c r="I114" s="291"/>
      <c r="J114" s="291"/>
      <c r="K114" s="291"/>
      <c r="L114" s="291"/>
      <c r="M114" s="291"/>
      <c r="N114" s="291"/>
      <c r="O114" s="291"/>
      <c r="P114" s="291"/>
      <c r="Q114" s="291"/>
      <c r="R114" s="291"/>
      <c r="S114" s="291"/>
      <c r="T114" s="291"/>
      <c r="U114" s="291"/>
      <c r="V114" s="291"/>
      <c r="W114" s="291"/>
      <c r="X114" s="291"/>
      <c r="Y114" s="291"/>
      <c r="Z114" s="291"/>
      <c r="AA114" s="291"/>
    </row>
    <row r="115" spans="1:27" s="309" customFormat="1" x14ac:dyDescent="0.35">
      <c r="A115" s="1137"/>
      <c r="B115" s="291"/>
      <c r="C115" s="291"/>
      <c r="D115" s="291"/>
      <c r="E115" s="327"/>
      <c r="F115" s="328"/>
      <c r="G115" s="327"/>
      <c r="H115" s="291"/>
      <c r="I115" s="291"/>
      <c r="J115" s="291"/>
      <c r="K115" s="291"/>
      <c r="L115" s="291"/>
      <c r="M115" s="291"/>
      <c r="N115" s="291"/>
      <c r="O115" s="291"/>
      <c r="P115" s="291"/>
      <c r="Q115" s="291"/>
      <c r="R115" s="291"/>
      <c r="S115" s="291"/>
      <c r="T115" s="291"/>
      <c r="U115" s="291"/>
      <c r="V115" s="291"/>
      <c r="W115" s="291"/>
      <c r="X115" s="291"/>
      <c r="Y115" s="291"/>
      <c r="Z115" s="291"/>
      <c r="AA115" s="291"/>
    </row>
    <row r="116" spans="1:27" s="309" customFormat="1" x14ac:dyDescent="0.35">
      <c r="A116" s="1137"/>
      <c r="B116" s="291"/>
      <c r="C116" s="291"/>
      <c r="D116" s="291"/>
      <c r="E116" s="327"/>
      <c r="F116" s="328"/>
      <c r="G116" s="327"/>
      <c r="H116" s="291"/>
      <c r="I116" s="291"/>
      <c r="J116" s="291"/>
      <c r="K116" s="291"/>
      <c r="L116" s="291"/>
      <c r="M116" s="291"/>
      <c r="N116" s="291"/>
      <c r="O116" s="291"/>
      <c r="P116" s="291"/>
      <c r="Q116" s="291"/>
      <c r="R116" s="291"/>
      <c r="S116" s="291"/>
      <c r="T116" s="291"/>
      <c r="U116" s="291"/>
      <c r="V116" s="291"/>
      <c r="W116" s="291"/>
      <c r="X116" s="291"/>
      <c r="Y116" s="291"/>
      <c r="Z116" s="291"/>
      <c r="AA116" s="291"/>
    </row>
    <row r="117" spans="1:27" s="309" customFormat="1" x14ac:dyDescent="0.35">
      <c r="A117" s="1137"/>
      <c r="B117" s="291"/>
      <c r="C117" s="291"/>
      <c r="D117" s="291"/>
      <c r="E117" s="327"/>
      <c r="F117" s="328"/>
      <c r="G117" s="327"/>
      <c r="H117" s="291"/>
      <c r="I117" s="291"/>
      <c r="J117" s="291"/>
      <c r="K117" s="291"/>
      <c r="L117" s="291"/>
      <c r="M117" s="291"/>
      <c r="N117" s="291"/>
      <c r="O117" s="291"/>
      <c r="P117" s="291"/>
      <c r="Q117" s="291"/>
      <c r="R117" s="291"/>
      <c r="S117" s="291"/>
      <c r="T117" s="291"/>
      <c r="U117" s="291"/>
      <c r="V117" s="291"/>
      <c r="W117" s="291"/>
      <c r="X117" s="291"/>
      <c r="Y117" s="291"/>
      <c r="Z117" s="291"/>
      <c r="AA117" s="291"/>
    </row>
    <row r="118" spans="1:27" s="309" customFormat="1" x14ac:dyDescent="0.35">
      <c r="A118" s="1137"/>
      <c r="B118" s="291"/>
      <c r="C118" s="291"/>
      <c r="D118" s="291"/>
      <c r="E118" s="327"/>
      <c r="F118" s="328"/>
      <c r="G118" s="327"/>
      <c r="H118" s="291"/>
      <c r="I118" s="291"/>
      <c r="J118" s="291"/>
      <c r="K118" s="291"/>
      <c r="L118" s="291"/>
      <c r="M118" s="291"/>
      <c r="N118" s="291"/>
      <c r="O118" s="291"/>
      <c r="P118" s="291"/>
      <c r="Q118" s="291"/>
      <c r="R118" s="291"/>
      <c r="S118" s="291"/>
      <c r="T118" s="291"/>
      <c r="U118" s="291"/>
      <c r="V118" s="291"/>
      <c r="W118" s="291"/>
      <c r="X118" s="291"/>
      <c r="Y118" s="291"/>
      <c r="Z118" s="291"/>
      <c r="AA118" s="291"/>
    </row>
    <row r="119" spans="1:27" s="309" customFormat="1" x14ac:dyDescent="0.35">
      <c r="A119" s="1137"/>
      <c r="B119" s="291"/>
      <c r="C119" s="291"/>
      <c r="D119" s="291"/>
      <c r="E119" s="327"/>
      <c r="F119" s="328"/>
      <c r="G119" s="327"/>
      <c r="H119" s="291"/>
      <c r="I119" s="291"/>
      <c r="J119" s="291"/>
      <c r="K119" s="291"/>
      <c r="L119" s="291"/>
      <c r="M119" s="291"/>
      <c r="N119" s="291"/>
      <c r="O119" s="291"/>
      <c r="P119" s="291"/>
      <c r="Q119" s="291"/>
      <c r="R119" s="291"/>
      <c r="S119" s="291"/>
      <c r="T119" s="291"/>
      <c r="U119" s="291"/>
      <c r="V119" s="291"/>
      <c r="W119" s="291"/>
      <c r="X119" s="291"/>
      <c r="Y119" s="291"/>
      <c r="Z119" s="291"/>
      <c r="AA119" s="291"/>
    </row>
    <row r="120" spans="1:27" s="309" customFormat="1" x14ac:dyDescent="0.35">
      <c r="A120" s="1137"/>
      <c r="B120" s="291"/>
      <c r="C120" s="291"/>
      <c r="D120" s="291"/>
      <c r="E120" s="327"/>
      <c r="F120" s="328"/>
      <c r="G120" s="327"/>
      <c r="H120" s="291"/>
      <c r="I120" s="291"/>
      <c r="J120" s="291"/>
      <c r="K120" s="291"/>
      <c r="L120" s="291"/>
      <c r="M120" s="291"/>
      <c r="N120" s="291"/>
      <c r="O120" s="291"/>
      <c r="P120" s="291"/>
      <c r="Q120" s="291"/>
      <c r="R120" s="291"/>
      <c r="S120" s="291"/>
      <c r="T120" s="291"/>
      <c r="U120" s="291"/>
      <c r="V120" s="291"/>
      <c r="W120" s="291"/>
      <c r="X120" s="291"/>
      <c r="Y120" s="291"/>
      <c r="Z120" s="291"/>
      <c r="AA120" s="291"/>
    </row>
    <row r="121" spans="1:27" s="309" customFormat="1" x14ac:dyDescent="0.35">
      <c r="A121" s="1137"/>
      <c r="B121" s="291"/>
      <c r="C121" s="291"/>
      <c r="D121" s="291"/>
      <c r="E121" s="327"/>
      <c r="F121" s="328"/>
      <c r="G121" s="327"/>
      <c r="H121" s="291"/>
      <c r="I121" s="291"/>
      <c r="J121" s="291"/>
      <c r="K121" s="291"/>
      <c r="L121" s="291"/>
      <c r="M121" s="291"/>
      <c r="N121" s="291"/>
      <c r="O121" s="291"/>
      <c r="P121" s="291"/>
      <c r="Q121" s="291"/>
      <c r="R121" s="291"/>
      <c r="S121" s="291"/>
      <c r="T121" s="291"/>
      <c r="U121" s="291"/>
      <c r="V121" s="291"/>
      <c r="W121" s="291"/>
      <c r="X121" s="291"/>
      <c r="Y121" s="291"/>
      <c r="Z121" s="291"/>
      <c r="AA121" s="291"/>
    </row>
    <row r="122" spans="1:27" s="309" customFormat="1" x14ac:dyDescent="0.35">
      <c r="A122" s="1137"/>
      <c r="B122" s="291"/>
      <c r="C122" s="291"/>
      <c r="D122" s="291"/>
      <c r="E122" s="327"/>
      <c r="F122" s="328"/>
      <c r="G122" s="327"/>
      <c r="H122" s="291"/>
      <c r="I122" s="291"/>
      <c r="J122" s="291"/>
      <c r="K122" s="291"/>
      <c r="L122" s="291"/>
      <c r="M122" s="291"/>
      <c r="N122" s="291"/>
      <c r="O122" s="291"/>
      <c r="P122" s="291"/>
      <c r="Q122" s="291"/>
      <c r="R122" s="291"/>
      <c r="S122" s="291"/>
      <c r="T122" s="291"/>
      <c r="U122" s="291"/>
      <c r="V122" s="291"/>
      <c r="W122" s="291"/>
      <c r="X122" s="291"/>
      <c r="Y122" s="291"/>
      <c r="Z122" s="291"/>
      <c r="AA122" s="291"/>
    </row>
    <row r="123" spans="1:27" s="309" customFormat="1" x14ac:dyDescent="0.35">
      <c r="A123" s="1137"/>
      <c r="B123" s="291"/>
      <c r="C123" s="291"/>
      <c r="D123" s="291"/>
      <c r="E123" s="327"/>
      <c r="F123" s="328"/>
      <c r="G123" s="327"/>
      <c r="H123" s="291"/>
      <c r="I123" s="291"/>
      <c r="J123" s="291"/>
      <c r="K123" s="291"/>
      <c r="L123" s="291"/>
      <c r="M123" s="291"/>
      <c r="N123" s="291"/>
      <c r="O123" s="291"/>
      <c r="P123" s="291"/>
      <c r="Q123" s="291"/>
      <c r="R123" s="291"/>
      <c r="S123" s="291"/>
      <c r="T123" s="291"/>
      <c r="U123" s="291"/>
      <c r="V123" s="291"/>
      <c r="W123" s="291"/>
      <c r="X123" s="291"/>
      <c r="Y123" s="291"/>
      <c r="Z123" s="291"/>
      <c r="AA123" s="291"/>
    </row>
    <row r="124" spans="1:27" s="309" customFormat="1" x14ac:dyDescent="0.35">
      <c r="A124" s="1137"/>
      <c r="B124" s="291"/>
      <c r="C124" s="291"/>
      <c r="D124" s="291"/>
      <c r="E124" s="327"/>
      <c r="F124" s="328"/>
      <c r="G124" s="327"/>
      <c r="H124" s="291"/>
      <c r="I124" s="291"/>
      <c r="J124" s="291"/>
      <c r="K124" s="291"/>
      <c r="L124" s="291"/>
      <c r="M124" s="291"/>
      <c r="N124" s="291"/>
      <c r="O124" s="291"/>
      <c r="P124" s="291"/>
      <c r="Q124" s="291"/>
      <c r="R124" s="291"/>
      <c r="S124" s="291"/>
      <c r="T124" s="291"/>
      <c r="U124" s="291"/>
      <c r="V124" s="291"/>
      <c r="W124" s="291"/>
      <c r="X124" s="291"/>
      <c r="Y124" s="291"/>
      <c r="Z124" s="291"/>
      <c r="AA124" s="291"/>
    </row>
    <row r="125" spans="1:27" s="309" customFormat="1" x14ac:dyDescent="0.35">
      <c r="A125" s="1137"/>
      <c r="B125" s="291"/>
      <c r="C125" s="291"/>
      <c r="D125" s="291"/>
      <c r="E125" s="327"/>
      <c r="F125" s="328"/>
      <c r="G125" s="327"/>
      <c r="H125" s="291"/>
      <c r="I125" s="291"/>
      <c r="J125" s="291"/>
      <c r="K125" s="291"/>
      <c r="L125" s="291"/>
      <c r="M125" s="291"/>
      <c r="N125" s="291"/>
      <c r="O125" s="291"/>
      <c r="P125" s="291"/>
      <c r="Q125" s="291"/>
      <c r="R125" s="291"/>
      <c r="S125" s="291"/>
      <c r="T125" s="291"/>
      <c r="U125" s="291"/>
      <c r="V125" s="291"/>
      <c r="W125" s="291"/>
      <c r="X125" s="291"/>
      <c r="Y125" s="291"/>
      <c r="Z125" s="291"/>
      <c r="AA125" s="291"/>
    </row>
    <row r="126" spans="1:27" s="309" customFormat="1" x14ac:dyDescent="0.35">
      <c r="A126" s="1137"/>
      <c r="B126" s="291"/>
      <c r="C126" s="291"/>
      <c r="D126" s="291"/>
      <c r="E126" s="327"/>
      <c r="F126" s="328"/>
      <c r="G126" s="327"/>
      <c r="H126" s="291"/>
      <c r="I126" s="291"/>
      <c r="J126" s="291"/>
      <c r="K126" s="291"/>
      <c r="L126" s="291"/>
      <c r="M126" s="291"/>
      <c r="N126" s="291"/>
      <c r="O126" s="291"/>
      <c r="P126" s="291"/>
      <c r="Q126" s="291"/>
      <c r="R126" s="291"/>
      <c r="S126" s="291"/>
      <c r="T126" s="291"/>
      <c r="U126" s="291"/>
      <c r="V126" s="291"/>
      <c r="W126" s="291"/>
      <c r="X126" s="291"/>
      <c r="Y126" s="291"/>
      <c r="Z126" s="291"/>
      <c r="AA126" s="291"/>
    </row>
    <row r="127" spans="1:27" s="309" customFormat="1" x14ac:dyDescent="0.35">
      <c r="A127" s="1137"/>
      <c r="B127" s="291"/>
      <c r="C127" s="291"/>
      <c r="D127" s="291"/>
      <c r="E127" s="327"/>
      <c r="F127" s="328"/>
      <c r="G127" s="327"/>
      <c r="H127" s="291"/>
      <c r="I127" s="291"/>
      <c r="J127" s="291"/>
      <c r="K127" s="291"/>
      <c r="L127" s="291"/>
      <c r="M127" s="291"/>
      <c r="N127" s="291"/>
      <c r="O127" s="291"/>
      <c r="P127" s="291"/>
      <c r="Q127" s="291"/>
      <c r="R127" s="291"/>
      <c r="S127" s="291"/>
      <c r="T127" s="291"/>
      <c r="U127" s="291"/>
      <c r="V127" s="291"/>
      <c r="W127" s="291"/>
      <c r="X127" s="291"/>
      <c r="Y127" s="291"/>
      <c r="Z127" s="291"/>
      <c r="AA127" s="291"/>
    </row>
    <row r="128" spans="1:27" s="309" customFormat="1" x14ac:dyDescent="0.35">
      <c r="A128" s="1137"/>
      <c r="B128" s="291"/>
      <c r="C128" s="291"/>
      <c r="D128" s="291"/>
      <c r="E128" s="327"/>
      <c r="F128" s="328"/>
      <c r="G128" s="327"/>
      <c r="H128" s="291"/>
      <c r="I128" s="291"/>
      <c r="J128" s="291"/>
      <c r="K128" s="291"/>
      <c r="L128" s="291"/>
      <c r="M128" s="291"/>
      <c r="N128" s="291"/>
      <c r="O128" s="291"/>
      <c r="P128" s="291"/>
      <c r="Q128" s="291"/>
      <c r="R128" s="291"/>
      <c r="S128" s="291"/>
      <c r="T128" s="291"/>
      <c r="U128" s="291"/>
      <c r="V128" s="291"/>
      <c r="W128" s="291"/>
      <c r="X128" s="291"/>
      <c r="Y128" s="291"/>
      <c r="Z128" s="291"/>
      <c r="AA128" s="291"/>
    </row>
    <row r="129" spans="1:27" s="309" customFormat="1" x14ac:dyDescent="0.35">
      <c r="A129" s="1137"/>
      <c r="B129" s="291"/>
      <c r="C129" s="291"/>
      <c r="D129" s="291"/>
      <c r="E129" s="327"/>
      <c r="F129" s="328"/>
      <c r="G129" s="327"/>
      <c r="H129" s="291"/>
      <c r="I129" s="291"/>
      <c r="J129" s="291"/>
      <c r="K129" s="291"/>
      <c r="L129" s="291"/>
      <c r="M129" s="291"/>
      <c r="N129" s="291"/>
      <c r="O129" s="291"/>
      <c r="P129" s="291"/>
      <c r="Q129" s="291"/>
      <c r="R129" s="291"/>
      <c r="S129" s="291"/>
      <c r="T129" s="291"/>
      <c r="U129" s="291"/>
      <c r="V129" s="291"/>
      <c r="W129" s="291"/>
      <c r="X129" s="291"/>
      <c r="Y129" s="291"/>
      <c r="Z129" s="291"/>
      <c r="AA129" s="291"/>
    </row>
    <row r="130" spans="1:27" s="309" customFormat="1" x14ac:dyDescent="0.35">
      <c r="A130" s="1137"/>
      <c r="B130" s="291"/>
      <c r="C130" s="291"/>
      <c r="D130" s="291"/>
      <c r="E130" s="327"/>
      <c r="F130" s="328"/>
      <c r="G130" s="327"/>
      <c r="H130" s="291"/>
      <c r="I130" s="291"/>
      <c r="J130" s="291"/>
      <c r="K130" s="291"/>
      <c r="L130" s="291"/>
      <c r="M130" s="291"/>
      <c r="N130" s="291"/>
      <c r="O130" s="291"/>
      <c r="P130" s="291"/>
      <c r="Q130" s="291"/>
      <c r="R130" s="291"/>
      <c r="S130" s="291"/>
      <c r="T130" s="291"/>
      <c r="U130" s="291"/>
      <c r="V130" s="291"/>
      <c r="W130" s="291"/>
      <c r="X130" s="291"/>
      <c r="Y130" s="291"/>
      <c r="Z130" s="291"/>
      <c r="AA130" s="291"/>
    </row>
    <row r="131" spans="1:27" x14ac:dyDescent="0.35">
      <c r="E131" s="327"/>
      <c r="G131" s="327"/>
      <c r="H131" s="291"/>
    </row>
    <row r="132" spans="1:27" x14ac:dyDescent="0.35">
      <c r="E132" s="327"/>
      <c r="G132" s="327"/>
      <c r="H132" s="291"/>
    </row>
    <row r="133" spans="1:27" x14ac:dyDescent="0.35">
      <c r="E133" s="327"/>
      <c r="G133" s="327"/>
      <c r="H133" s="291"/>
    </row>
    <row r="134" spans="1:27" x14ac:dyDescent="0.35">
      <c r="E134" s="327"/>
      <c r="G134" s="327"/>
      <c r="H134" s="291"/>
    </row>
    <row r="135" spans="1:27" x14ac:dyDescent="0.35">
      <c r="E135" s="327"/>
      <c r="G135" s="327"/>
      <c r="H135" s="291"/>
    </row>
    <row r="136" spans="1:27" x14ac:dyDescent="0.35">
      <c r="E136" s="327"/>
      <c r="G136" s="327"/>
      <c r="H136" s="291"/>
    </row>
    <row r="137" spans="1:27" x14ac:dyDescent="0.35">
      <c r="E137" s="327"/>
      <c r="G137" s="327"/>
      <c r="H137" s="291"/>
    </row>
    <row r="138" spans="1:27" x14ac:dyDescent="0.35">
      <c r="E138" s="327"/>
      <c r="G138" s="327"/>
      <c r="H138" s="291"/>
    </row>
  </sheetData>
  <sheetProtection algorithmName="SHA-512" hashValue="1YZb+8BZz91G3G2V+DSaOOQ2B+4EEBBMlBbXfThQu+q7EU3fx2u8krjmHGC3BFpFHNNUD9ZvwYGLpLlrDCk4Cw==" saltValue="YjA6HoMC9kdyRskQPP+R4A==" spinCount="100000" sheet="1" objects="1" scenarios="1"/>
  <mergeCells count="79">
    <mergeCell ref="B38:B39"/>
    <mergeCell ref="B43:B44"/>
    <mergeCell ref="F1:H1"/>
    <mergeCell ref="F39:H39"/>
    <mergeCell ref="F40:H40"/>
    <mergeCell ref="D3:H3"/>
    <mergeCell ref="B5:B11"/>
    <mergeCell ref="B17:B24"/>
    <mergeCell ref="B25:B29"/>
    <mergeCell ref="B30:B35"/>
    <mergeCell ref="F16:H16"/>
    <mergeCell ref="C17:C24"/>
    <mergeCell ref="F17:H17"/>
    <mergeCell ref="F18:H18"/>
    <mergeCell ref="F19:H19"/>
    <mergeCell ref="F20:H20"/>
    <mergeCell ref="I14:O14"/>
    <mergeCell ref="C1:E2"/>
    <mergeCell ref="F4:H4"/>
    <mergeCell ref="C5:C11"/>
    <mergeCell ref="F5:H5"/>
    <mergeCell ref="F6:H6"/>
    <mergeCell ref="F7:H7"/>
    <mergeCell ref="F8:H8"/>
    <mergeCell ref="F9:H9"/>
    <mergeCell ref="F10:H10"/>
    <mergeCell ref="F11:H11"/>
    <mergeCell ref="F13:H13"/>
    <mergeCell ref="F14:H14"/>
    <mergeCell ref="F21:H21"/>
    <mergeCell ref="F22:H22"/>
    <mergeCell ref="F23:H23"/>
    <mergeCell ref="F24:H24"/>
    <mergeCell ref="C25:C29"/>
    <mergeCell ref="F25:H25"/>
    <mergeCell ref="F26:H26"/>
    <mergeCell ref="F27:H27"/>
    <mergeCell ref="F28:H28"/>
    <mergeCell ref="F29:H29"/>
    <mergeCell ref="C41:C42"/>
    <mergeCell ref="F41:H41"/>
    <mergeCell ref="F42:H42"/>
    <mergeCell ref="C30:C35"/>
    <mergeCell ref="F30:H30"/>
    <mergeCell ref="F31:H31"/>
    <mergeCell ref="F32:H32"/>
    <mergeCell ref="F33:H33"/>
    <mergeCell ref="F34:H34"/>
    <mergeCell ref="F35:H35"/>
    <mergeCell ref="C36:C37"/>
    <mergeCell ref="F36:H36"/>
    <mergeCell ref="F37:H37"/>
    <mergeCell ref="C38:C39"/>
    <mergeCell ref="F38:H38"/>
    <mergeCell ref="C43:C44"/>
    <mergeCell ref="F43:H43"/>
    <mergeCell ref="F44:H44"/>
    <mergeCell ref="F45:H45"/>
    <mergeCell ref="C47:D47"/>
    <mergeCell ref="F47:H47"/>
    <mergeCell ref="C48:D48"/>
    <mergeCell ref="F48:H48"/>
    <mergeCell ref="C49:D49"/>
    <mergeCell ref="F49:H49"/>
    <mergeCell ref="C50:D50"/>
    <mergeCell ref="F50:H50"/>
    <mergeCell ref="C51:D51"/>
    <mergeCell ref="F51:H51"/>
    <mergeCell ref="G52:H53"/>
    <mergeCell ref="C53:D53"/>
    <mergeCell ref="C54:D54"/>
    <mergeCell ref="F54:H54"/>
    <mergeCell ref="G55:H56"/>
    <mergeCell ref="C56:D56"/>
    <mergeCell ref="C57:D57"/>
    <mergeCell ref="C58:D58"/>
    <mergeCell ref="E58:H65"/>
    <mergeCell ref="C60:D60"/>
    <mergeCell ref="C61:D65"/>
  </mergeCells>
  <conditionalFormatting sqref="F48:F51">
    <cfRule type="cellIs" dxfId="35" priority="2" operator="between">
      <formula>0.01</formula>
      <formula>-0.01</formula>
    </cfRule>
  </conditionalFormatting>
  <conditionalFormatting sqref="F54">
    <cfRule type="cellIs" dxfId="34" priority="1" operator="between">
      <formula>0.01</formula>
      <formula>-0.01</formula>
    </cfRule>
  </conditionalFormatting>
  <dataValidations count="1">
    <dataValidation type="list" allowBlank="1" showInputMessage="1" showErrorMessage="1" sqref="F14 F42" xr:uid="{EE434567-8D57-4D57-972F-117B2C88426E}">
      <formula1>"Location-based, Market-based"</formula1>
    </dataValidation>
  </dataValidation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75BE-332B-4950-B0E8-AD154AFC5063}">
  <sheetPr>
    <tabColor theme="7" tint="-0.499984740745262"/>
    <pageSetUpPr fitToPage="1"/>
  </sheetPr>
  <dimension ref="A1:AI174"/>
  <sheetViews>
    <sheetView topLeftCell="D68" zoomScaleNormal="100" workbookViewId="0">
      <selection activeCell="E80" sqref="E80"/>
    </sheetView>
  </sheetViews>
  <sheetFormatPr baseColWidth="10" defaultColWidth="11.453125" defaultRowHeight="14.5" x14ac:dyDescent="0.35"/>
  <cols>
    <col min="1" max="1" width="11.453125" style="1174"/>
    <col min="2" max="2" width="25.81640625" style="291" customWidth="1"/>
    <col min="3" max="3" width="25.54296875" style="329" customWidth="1"/>
    <col min="4" max="4" width="109.1796875" style="329" customWidth="1"/>
    <col min="5" max="5" width="11.7265625" style="330" customWidth="1"/>
    <col min="6" max="6" width="11.7265625" style="328" customWidth="1"/>
    <col min="7" max="7" width="11.7265625" style="330" customWidth="1"/>
    <col min="8" max="8" width="36.7265625" style="329" customWidth="1"/>
    <col min="9" max="27" width="11.453125" style="291"/>
    <col min="28" max="35" width="11.453125" style="309"/>
    <col min="36" max="16384" width="11.453125" style="310"/>
  </cols>
  <sheetData>
    <row r="1" spans="1:27" ht="60" customHeight="1" x14ac:dyDescent="0.35">
      <c r="C1" s="1421" t="s">
        <v>271</v>
      </c>
      <c r="D1" s="1421"/>
      <c r="E1" s="290"/>
      <c r="F1" s="289"/>
      <c r="G1" s="290"/>
      <c r="H1" s="291"/>
    </row>
    <row r="2" spans="1:27" ht="10.75" customHeight="1" thickBot="1" x14ac:dyDescent="0.4">
      <c r="C2" s="1422"/>
      <c r="D2" s="1422"/>
      <c r="E2" s="290"/>
      <c r="F2" s="289"/>
      <c r="G2" s="290"/>
      <c r="H2" s="291"/>
    </row>
    <row r="3" spans="1:27" ht="101.65" customHeight="1" x14ac:dyDescent="0.35">
      <c r="B3" s="331" t="s">
        <v>272</v>
      </c>
      <c r="C3" s="1436" t="s">
        <v>1994</v>
      </c>
      <c r="D3" s="1437"/>
      <c r="E3" s="290"/>
      <c r="F3" s="1423" t="s">
        <v>1991</v>
      </c>
      <c r="G3" s="1423"/>
      <c r="H3" s="1423"/>
    </row>
    <row r="4" spans="1:27" ht="30" customHeight="1" x14ac:dyDescent="0.35">
      <c r="B4" s="332" t="s">
        <v>273</v>
      </c>
      <c r="C4" s="1438" t="s">
        <v>1953</v>
      </c>
      <c r="D4" s="1439"/>
      <c r="E4" s="290"/>
      <c r="F4" s="289"/>
      <c r="G4" s="290"/>
      <c r="H4" s="291"/>
    </row>
    <row r="5" spans="1:27" ht="28.9" customHeight="1" x14ac:dyDescent="0.35">
      <c r="B5" s="332" t="s">
        <v>1958</v>
      </c>
      <c r="C5" s="1438" t="s">
        <v>1992</v>
      </c>
      <c r="D5" s="1439"/>
      <c r="E5" s="290"/>
      <c r="F5" s="289"/>
      <c r="G5" s="290"/>
      <c r="H5" s="291"/>
    </row>
    <row r="6" spans="1:27" ht="14.5" customHeight="1" x14ac:dyDescent="0.35">
      <c r="B6" s="332" t="s">
        <v>19</v>
      </c>
      <c r="C6" s="1440" t="s">
        <v>1999</v>
      </c>
      <c r="D6" s="1441"/>
      <c r="E6" s="290"/>
      <c r="F6" s="1424"/>
      <c r="G6" s="1426"/>
      <c r="H6" s="1432" t="s">
        <v>1998</v>
      </c>
      <c r="I6" s="348"/>
    </row>
    <row r="7" spans="1:27" ht="15" thickBot="1" x14ac:dyDescent="0.4">
      <c r="B7" s="333" t="s">
        <v>20</v>
      </c>
      <c r="C7" s="1442" t="s">
        <v>1993</v>
      </c>
      <c r="D7" s="1443"/>
      <c r="E7" s="290"/>
      <c r="F7" s="1425"/>
      <c r="G7" s="1427"/>
      <c r="H7" s="1433"/>
      <c r="I7" s="348"/>
    </row>
    <row r="8" spans="1:27" s="1172" customFormat="1" x14ac:dyDescent="0.35">
      <c r="A8" s="1175"/>
      <c r="B8" s="1166"/>
      <c r="C8" s="1237"/>
      <c r="D8" s="1167"/>
      <c r="E8" s="1168"/>
      <c r="F8" s="1169"/>
      <c r="G8" s="1170"/>
      <c r="H8" s="1170"/>
      <c r="I8" s="1171"/>
      <c r="J8" s="1171"/>
      <c r="K8" s="1171"/>
      <c r="L8" s="1171"/>
      <c r="M8" s="1171"/>
      <c r="N8" s="1171"/>
      <c r="O8" s="1171"/>
      <c r="P8" s="1171"/>
      <c r="Q8" s="1171"/>
      <c r="R8" s="1171"/>
      <c r="S8" s="1171"/>
      <c r="T8" s="1171"/>
      <c r="U8" s="1171"/>
      <c r="V8" s="1171"/>
      <c r="W8" s="1171"/>
      <c r="X8" s="1171"/>
      <c r="Y8" s="1171"/>
      <c r="Z8" s="1171"/>
      <c r="AA8" s="1171"/>
    </row>
    <row r="9" spans="1:27" ht="15.75" customHeight="1" thickBot="1" x14ac:dyDescent="0.4">
      <c r="B9" s="1173" t="s">
        <v>1997</v>
      </c>
      <c r="D9" s="334"/>
      <c r="E9" s="290"/>
      <c r="F9" s="289"/>
      <c r="G9" s="335"/>
      <c r="H9" s="291"/>
    </row>
    <row r="10" spans="1:27" ht="15.75" customHeight="1" x14ac:dyDescent="0.35">
      <c r="B10" s="336" t="s">
        <v>274</v>
      </c>
      <c r="C10" s="1444" t="s">
        <v>275</v>
      </c>
      <c r="D10" s="1445"/>
      <c r="E10" s="290"/>
      <c r="F10" s="289"/>
      <c r="G10" s="290"/>
      <c r="H10" s="291"/>
    </row>
    <row r="11" spans="1:27" ht="15.75" customHeight="1" x14ac:dyDescent="0.35">
      <c r="B11" s="337" t="s">
        <v>276</v>
      </c>
      <c r="C11" s="1446" t="s">
        <v>275</v>
      </c>
      <c r="D11" s="1447"/>
      <c r="E11" s="290"/>
      <c r="F11" s="338" t="s">
        <v>277</v>
      </c>
      <c r="G11" s="1198"/>
      <c r="H11" s="1201"/>
    </row>
    <row r="12" spans="1:27" ht="15.75" customHeight="1" x14ac:dyDescent="0.35">
      <c r="B12" s="337" t="s">
        <v>278</v>
      </c>
      <c r="C12" s="1446" t="s">
        <v>1995</v>
      </c>
      <c r="D12" s="1447"/>
      <c r="E12" s="290"/>
      <c r="F12" s="338" t="s">
        <v>279</v>
      </c>
      <c r="G12" s="1199"/>
      <c r="H12" s="1202"/>
    </row>
    <row r="13" spans="1:27" ht="15.75" customHeight="1" x14ac:dyDescent="0.35">
      <c r="B13" s="337" t="s">
        <v>280</v>
      </c>
      <c r="C13" s="1446" t="s">
        <v>281</v>
      </c>
      <c r="D13" s="1447"/>
      <c r="E13" s="290"/>
      <c r="F13" s="338" t="s">
        <v>282</v>
      </c>
      <c r="G13" s="1199"/>
      <c r="H13" s="1202"/>
    </row>
    <row r="14" spans="1:27" ht="15.75" customHeight="1" x14ac:dyDescent="0.35">
      <c r="B14" s="340" t="s">
        <v>283</v>
      </c>
      <c r="C14" s="1446" t="s">
        <v>1996</v>
      </c>
      <c r="D14" s="1447"/>
      <c r="E14" s="290"/>
      <c r="F14" s="338"/>
      <c r="G14" s="339"/>
      <c r="H14" s="291"/>
    </row>
    <row r="15" spans="1:27" ht="15.75" customHeight="1" thickBot="1" x14ac:dyDescent="0.4">
      <c r="B15" s="341" t="s">
        <v>284</v>
      </c>
      <c r="C15" s="1448" t="s">
        <v>275</v>
      </c>
      <c r="D15" s="1449"/>
      <c r="E15" s="290"/>
      <c r="F15" s="289"/>
      <c r="G15" s="290"/>
      <c r="H15" s="291"/>
    </row>
    <row r="16" spans="1:27" ht="15" thickBot="1" x14ac:dyDescent="0.4">
      <c r="C16" s="292"/>
      <c r="D16" s="293"/>
      <c r="E16" s="294"/>
      <c r="F16" s="295"/>
      <c r="G16" s="294"/>
      <c r="H16" s="295"/>
    </row>
    <row r="17" spans="2:8" ht="23.5" customHeight="1" x14ac:dyDescent="0.35">
      <c r="B17" s="1454" t="s">
        <v>1964</v>
      </c>
      <c r="C17" s="1456" t="s">
        <v>1965</v>
      </c>
      <c r="D17" s="1450" t="s">
        <v>285</v>
      </c>
      <c r="E17" s="1450"/>
      <c r="F17" s="1450"/>
      <c r="G17" s="1450"/>
      <c r="H17" s="1451"/>
    </row>
    <row r="18" spans="2:8" ht="14.5" customHeight="1" x14ac:dyDescent="0.35">
      <c r="B18" s="1455"/>
      <c r="C18" s="1457"/>
      <c r="D18" s="1452" t="s">
        <v>2020</v>
      </c>
      <c r="E18" s="1452"/>
      <c r="F18" s="1452"/>
      <c r="G18" s="1452"/>
      <c r="H18" s="1453"/>
    </row>
    <row r="19" spans="2:8" ht="28.9" customHeight="1" x14ac:dyDescent="0.6">
      <c r="B19" s="1182" t="s">
        <v>43</v>
      </c>
      <c r="C19" s="1183" t="s">
        <v>223</v>
      </c>
      <c r="D19" s="1184" t="s">
        <v>286</v>
      </c>
      <c r="E19" s="1185" t="s">
        <v>287</v>
      </c>
      <c r="F19" s="1354" t="s">
        <v>288</v>
      </c>
      <c r="G19" s="1354"/>
      <c r="H19" s="1355"/>
    </row>
    <row r="20" spans="2:8" ht="29" x14ac:dyDescent="0.35">
      <c r="B20" s="1362" t="s">
        <v>1966</v>
      </c>
      <c r="C20" s="1349" t="s">
        <v>225</v>
      </c>
      <c r="D20" s="1142" t="s">
        <v>289</v>
      </c>
      <c r="E20" s="1186"/>
      <c r="F20" s="1403"/>
      <c r="G20" s="1403"/>
      <c r="H20" s="1404"/>
    </row>
    <row r="21" spans="2:8" x14ac:dyDescent="0.35">
      <c r="B21" s="1362"/>
      <c r="C21" s="1349"/>
      <c r="D21" s="1142" t="s">
        <v>227</v>
      </c>
      <c r="E21" s="1186"/>
      <c r="F21" s="1428" t="s">
        <v>2000</v>
      </c>
      <c r="G21" s="1429"/>
      <c r="H21" s="1430"/>
    </row>
    <row r="22" spans="2:8" x14ac:dyDescent="0.35">
      <c r="B22" s="1362"/>
      <c r="C22" s="1349"/>
      <c r="D22" s="1142" t="s">
        <v>228</v>
      </c>
      <c r="E22" s="1186"/>
      <c r="F22" s="1403"/>
      <c r="G22" s="1403"/>
      <c r="H22" s="1404"/>
    </row>
    <row r="23" spans="2:8" ht="15" customHeight="1" x14ac:dyDescent="0.35">
      <c r="B23" s="1362"/>
      <c r="C23" s="1349"/>
      <c r="D23" s="1143" t="s">
        <v>229</v>
      </c>
      <c r="E23" s="1186"/>
      <c r="F23" s="1403"/>
      <c r="G23" s="1403"/>
      <c r="H23" s="1404"/>
    </row>
    <row r="24" spans="2:8" x14ac:dyDescent="0.35">
      <c r="B24" s="1362"/>
      <c r="C24" s="1349"/>
      <c r="D24" s="1142" t="s">
        <v>230</v>
      </c>
      <c r="E24" s="1186"/>
      <c r="F24" s="1428" t="s">
        <v>2000</v>
      </c>
      <c r="G24" s="1429"/>
      <c r="H24" s="1430"/>
    </row>
    <row r="25" spans="2:8" x14ac:dyDescent="0.35">
      <c r="B25" s="1362"/>
      <c r="C25" s="1349"/>
      <c r="D25" s="1142" t="s">
        <v>231</v>
      </c>
      <c r="E25" s="1186"/>
      <c r="F25" s="1403"/>
      <c r="G25" s="1403"/>
      <c r="H25" s="1404"/>
    </row>
    <row r="26" spans="2:8" x14ac:dyDescent="0.35">
      <c r="B26" s="1362"/>
      <c r="C26" s="1349"/>
      <c r="D26" s="1142" t="s">
        <v>290</v>
      </c>
      <c r="E26" s="1186"/>
      <c r="F26" s="1428" t="s">
        <v>2001</v>
      </c>
      <c r="G26" s="1429"/>
      <c r="H26" s="1430"/>
    </row>
    <row r="27" spans="2:8" x14ac:dyDescent="0.35">
      <c r="B27" s="1193"/>
      <c r="C27" s="1197"/>
      <c r="D27" s="1195"/>
      <c r="E27" s="1196"/>
      <c r="F27" s="1181"/>
      <c r="G27" s="1181"/>
      <c r="H27" s="1180"/>
    </row>
    <row r="28" spans="2:8" ht="28.9" customHeight="1" x14ac:dyDescent="0.6">
      <c r="B28" s="1164" t="s">
        <v>75</v>
      </c>
      <c r="C28" s="1146" t="s">
        <v>232</v>
      </c>
      <c r="D28" s="1187" t="s">
        <v>286</v>
      </c>
      <c r="E28" s="1185" t="s">
        <v>287</v>
      </c>
      <c r="F28" s="1354" t="s">
        <v>288</v>
      </c>
      <c r="G28" s="1354"/>
      <c r="H28" s="1355"/>
    </row>
    <row r="29" spans="2:8" ht="32.15" customHeight="1" x14ac:dyDescent="0.35">
      <c r="B29" s="1458" t="s">
        <v>1967</v>
      </c>
      <c r="C29" s="1431" t="s">
        <v>66</v>
      </c>
      <c r="D29" s="296" t="s">
        <v>291</v>
      </c>
      <c r="E29" s="1186"/>
      <c r="F29" s="1419" t="str">
        <f>IF('GHG Emissons Breakdown'!$F$14="Market-based","Market-based",IF('GHG Emissons Breakdown'!$F$14="Location-based","Location-based","Complete Cell F14 in the GHG Emissions Breakdown tab"))</f>
        <v>Complete Cell F14 in the GHG Emissions Breakdown tab</v>
      </c>
      <c r="G29" s="1419"/>
      <c r="H29" s="1420"/>
    </row>
    <row r="30" spans="2:8" ht="15.75" customHeight="1" x14ac:dyDescent="0.35">
      <c r="B30" s="1459"/>
      <c r="C30" s="1431"/>
      <c r="D30" s="296" t="s">
        <v>2010</v>
      </c>
      <c r="E30" s="1186"/>
      <c r="F30" s="1267">
        <f>E80</f>
        <v>0</v>
      </c>
      <c r="G30" s="1434" t="s">
        <v>2013</v>
      </c>
      <c r="H30" s="1435"/>
    </row>
    <row r="31" spans="2:8" ht="29" x14ac:dyDescent="0.35">
      <c r="B31" s="1460"/>
      <c r="C31" s="1431"/>
      <c r="D31" s="296" t="s">
        <v>2011</v>
      </c>
      <c r="E31" s="1186"/>
      <c r="F31" s="1352" t="s">
        <v>2012</v>
      </c>
      <c r="G31" s="1352"/>
      <c r="H31" s="1353"/>
    </row>
    <row r="32" spans="2:8" x14ac:dyDescent="0.35">
      <c r="B32" s="1193"/>
      <c r="C32" s="1194"/>
      <c r="D32" s="1195"/>
      <c r="E32" s="1196"/>
      <c r="F32" s="1181"/>
      <c r="G32" s="1181"/>
      <c r="H32" s="1180"/>
    </row>
    <row r="33" spans="2:8" ht="28.9" customHeight="1" x14ac:dyDescent="0.6">
      <c r="B33" s="1163" t="s">
        <v>1968</v>
      </c>
      <c r="C33" s="1188" t="s">
        <v>234</v>
      </c>
      <c r="D33" s="1189" t="s">
        <v>286</v>
      </c>
      <c r="E33" s="1185" t="s">
        <v>287</v>
      </c>
      <c r="F33" s="1354" t="s">
        <v>288</v>
      </c>
      <c r="G33" s="1354"/>
      <c r="H33" s="1355"/>
    </row>
    <row r="34" spans="2:8" x14ac:dyDescent="0.35">
      <c r="B34" s="1356" t="s">
        <v>1969</v>
      </c>
      <c r="C34" s="1402" t="s">
        <v>88</v>
      </c>
      <c r="D34" s="1154" t="s">
        <v>292</v>
      </c>
      <c r="E34" s="1186"/>
      <c r="F34" s="1403"/>
      <c r="G34" s="1403"/>
      <c r="H34" s="1404"/>
    </row>
    <row r="35" spans="2:8" x14ac:dyDescent="0.35">
      <c r="B35" s="1356"/>
      <c r="C35" s="1402"/>
      <c r="D35" s="1154" t="s">
        <v>236</v>
      </c>
      <c r="E35" s="1186"/>
      <c r="F35" s="1403"/>
      <c r="G35" s="1403"/>
      <c r="H35" s="1404"/>
    </row>
    <row r="36" spans="2:8" x14ac:dyDescent="0.35">
      <c r="B36" s="1356"/>
      <c r="C36" s="1402"/>
      <c r="D36" s="1154" t="s">
        <v>237</v>
      </c>
      <c r="E36" s="1186"/>
      <c r="F36" s="1403"/>
      <c r="G36" s="1403"/>
      <c r="H36" s="1404"/>
    </row>
    <row r="37" spans="2:8" x14ac:dyDescent="0.35">
      <c r="B37" s="1356"/>
      <c r="C37" s="1402"/>
      <c r="D37" s="1154" t="s">
        <v>238</v>
      </c>
      <c r="E37" s="1186"/>
      <c r="F37" s="1403"/>
      <c r="G37" s="1403"/>
      <c r="H37" s="1404"/>
    </row>
    <row r="38" spans="2:8" x14ac:dyDescent="0.35">
      <c r="B38" s="1356"/>
      <c r="C38" s="1402"/>
      <c r="D38" s="1154" t="s">
        <v>239</v>
      </c>
      <c r="E38" s="1186"/>
      <c r="F38" s="1403"/>
      <c r="G38" s="1403"/>
      <c r="H38" s="1404"/>
    </row>
    <row r="39" spans="2:8" x14ac:dyDescent="0.35">
      <c r="B39" s="1356"/>
      <c r="C39" s="1402"/>
      <c r="D39" s="1154" t="s">
        <v>240</v>
      </c>
      <c r="E39" s="1186"/>
      <c r="F39" s="1403"/>
      <c r="G39" s="1403"/>
      <c r="H39" s="1404"/>
    </row>
    <row r="40" spans="2:8" x14ac:dyDescent="0.35">
      <c r="B40" s="1356"/>
      <c r="C40" s="1402"/>
      <c r="D40" s="1154" t="s">
        <v>241</v>
      </c>
      <c r="E40" s="1186"/>
      <c r="F40" s="1403"/>
      <c r="G40" s="1403"/>
      <c r="H40" s="1404"/>
    </row>
    <row r="41" spans="2:8" x14ac:dyDescent="0.35">
      <c r="B41" s="1356"/>
      <c r="C41" s="1402"/>
      <c r="D41" s="1154" t="s">
        <v>242</v>
      </c>
      <c r="E41" s="1186"/>
      <c r="F41" s="1403"/>
      <c r="G41" s="1403"/>
      <c r="H41" s="1404"/>
    </row>
    <row r="42" spans="2:8" x14ac:dyDescent="0.35">
      <c r="B42" s="1356" t="s">
        <v>81</v>
      </c>
      <c r="C42" s="1402" t="s">
        <v>243</v>
      </c>
      <c r="D42" s="1154" t="s">
        <v>244</v>
      </c>
      <c r="E42" s="1186"/>
      <c r="F42" s="1403"/>
      <c r="G42" s="1403"/>
      <c r="H42" s="1404"/>
    </row>
    <row r="43" spans="2:8" x14ac:dyDescent="0.35">
      <c r="B43" s="1356"/>
      <c r="C43" s="1402"/>
      <c r="D43" s="1154" t="s">
        <v>245</v>
      </c>
      <c r="E43" s="1186"/>
      <c r="F43" s="1403"/>
      <c r="G43" s="1403"/>
      <c r="H43" s="1404"/>
    </row>
    <row r="44" spans="2:8" x14ac:dyDescent="0.35">
      <c r="B44" s="1356"/>
      <c r="C44" s="1402"/>
      <c r="D44" s="1154" t="s">
        <v>246</v>
      </c>
      <c r="E44" s="1186"/>
      <c r="F44" s="1403"/>
      <c r="G44" s="1403"/>
      <c r="H44" s="1404"/>
    </row>
    <row r="45" spans="2:8" x14ac:dyDescent="0.35">
      <c r="B45" s="1356"/>
      <c r="C45" s="1402"/>
      <c r="D45" s="1154" t="s">
        <v>247</v>
      </c>
      <c r="E45" s="1186"/>
      <c r="F45" s="1403"/>
      <c r="G45" s="1403"/>
      <c r="H45" s="1404"/>
    </row>
    <row r="46" spans="2:8" x14ac:dyDescent="0.35">
      <c r="B46" s="1356"/>
      <c r="C46" s="1402"/>
      <c r="D46" s="1154" t="s">
        <v>293</v>
      </c>
      <c r="E46" s="1186"/>
      <c r="F46" s="1403"/>
      <c r="G46" s="1403"/>
      <c r="H46" s="1404"/>
    </row>
    <row r="47" spans="2:8" x14ac:dyDescent="0.35">
      <c r="B47" s="1356" t="s">
        <v>1970</v>
      </c>
      <c r="C47" s="1402" t="s">
        <v>248</v>
      </c>
      <c r="D47" s="1154" t="s">
        <v>294</v>
      </c>
      <c r="E47" s="1186"/>
      <c r="F47" s="1403"/>
      <c r="G47" s="1403"/>
      <c r="H47" s="1404"/>
    </row>
    <row r="48" spans="2:8" x14ac:dyDescent="0.35">
      <c r="B48" s="1356"/>
      <c r="C48" s="1402"/>
      <c r="D48" s="1154" t="s">
        <v>295</v>
      </c>
      <c r="E48" s="1186"/>
      <c r="F48" s="1403"/>
      <c r="G48" s="1403"/>
      <c r="H48" s="1404"/>
    </row>
    <row r="49" spans="2:8" x14ac:dyDescent="0.35">
      <c r="B49" s="1356"/>
      <c r="C49" s="1402"/>
      <c r="D49" s="1154" t="s">
        <v>296</v>
      </c>
      <c r="E49" s="1186"/>
      <c r="F49" s="1403"/>
      <c r="G49" s="1403"/>
      <c r="H49" s="1404"/>
    </row>
    <row r="50" spans="2:8" x14ac:dyDescent="0.35">
      <c r="B50" s="1356"/>
      <c r="C50" s="1402"/>
      <c r="D50" s="1154" t="s">
        <v>297</v>
      </c>
      <c r="E50" s="1186"/>
      <c r="F50" s="1403"/>
      <c r="G50" s="1403"/>
      <c r="H50" s="1404"/>
    </row>
    <row r="51" spans="2:8" x14ac:dyDescent="0.35">
      <c r="B51" s="1356"/>
      <c r="C51" s="1402"/>
      <c r="D51" s="1154" t="s">
        <v>249</v>
      </c>
      <c r="E51" s="1186"/>
      <c r="F51" s="1403"/>
      <c r="G51" s="1403"/>
      <c r="H51" s="1404"/>
    </row>
    <row r="52" spans="2:8" x14ac:dyDescent="0.35">
      <c r="B52" s="1356"/>
      <c r="C52" s="1402"/>
      <c r="D52" s="1154" t="s">
        <v>298</v>
      </c>
      <c r="E52" s="1186"/>
      <c r="F52" s="1403"/>
      <c r="G52" s="1403"/>
      <c r="H52" s="1404"/>
    </row>
    <row r="53" spans="2:8" x14ac:dyDescent="0.35">
      <c r="B53" s="1158" t="s">
        <v>81</v>
      </c>
      <c r="C53" s="1402" t="s">
        <v>250</v>
      </c>
      <c r="D53" s="1154" t="s">
        <v>299</v>
      </c>
      <c r="E53" s="1186"/>
      <c r="F53" s="1403"/>
      <c r="G53" s="1403"/>
      <c r="H53" s="1404"/>
    </row>
    <row r="54" spans="2:8" x14ac:dyDescent="0.35">
      <c r="B54" s="1158" t="s">
        <v>1971</v>
      </c>
      <c r="C54" s="1402"/>
      <c r="D54" s="1154" t="s">
        <v>252</v>
      </c>
      <c r="E54" s="1186"/>
      <c r="F54" s="1403"/>
      <c r="G54" s="1403"/>
      <c r="H54" s="1404"/>
    </row>
    <row r="55" spans="2:8" x14ac:dyDescent="0.35">
      <c r="B55" s="1356" t="s">
        <v>1972</v>
      </c>
      <c r="C55" s="1402" t="s">
        <v>253</v>
      </c>
      <c r="D55" s="1154" t="s">
        <v>254</v>
      </c>
      <c r="E55" s="1186"/>
      <c r="F55" s="1403"/>
      <c r="G55" s="1403"/>
      <c r="H55" s="1404"/>
    </row>
    <row r="56" spans="2:8" x14ac:dyDescent="0.35">
      <c r="B56" s="1356"/>
      <c r="C56" s="1402"/>
      <c r="D56" s="1154" t="s">
        <v>255</v>
      </c>
      <c r="E56" s="1186"/>
      <c r="F56" s="1403"/>
      <c r="G56" s="1403"/>
      <c r="H56" s="1404"/>
    </row>
    <row r="57" spans="2:8" x14ac:dyDescent="0.35">
      <c r="B57" s="1158" t="s">
        <v>1971</v>
      </c>
      <c r="C57" s="1190" t="s">
        <v>256</v>
      </c>
      <c r="D57" s="1154" t="s">
        <v>257</v>
      </c>
      <c r="E57" s="1186"/>
      <c r="F57" s="1403"/>
      <c r="G57" s="1403"/>
      <c r="H57" s="1404"/>
    </row>
    <row r="58" spans="2:8" x14ac:dyDescent="0.35">
      <c r="B58" s="1158" t="s">
        <v>1971</v>
      </c>
      <c r="C58" s="1402" t="s">
        <v>258</v>
      </c>
      <c r="D58" s="1154" t="s">
        <v>259</v>
      </c>
      <c r="E58" s="1186"/>
      <c r="F58" s="1403"/>
      <c r="G58" s="1403"/>
      <c r="H58" s="1404"/>
    </row>
    <row r="59" spans="2:8" ht="29.15" customHeight="1" x14ac:dyDescent="0.35">
      <c r="B59" s="1158" t="s">
        <v>81</v>
      </c>
      <c r="C59" s="1402"/>
      <c r="D59" s="1200" t="s">
        <v>300</v>
      </c>
      <c r="E59" s="1186"/>
      <c r="F59" s="1419" t="str">
        <f>IF('GHG Emissons Breakdown'!$F$42="Market-based","Market-based",IF('GHG Emissons Breakdown'!$F$42="Location-based","Location-based","Complete Cell F42 in the GHG Emissions Breakdown tab"))</f>
        <v>Complete Cell F42 in the GHG Emissions Breakdown tab</v>
      </c>
      <c r="G59" s="1419"/>
      <c r="H59" s="1420"/>
    </row>
    <row r="60" spans="2:8" ht="15.65" customHeight="1" x14ac:dyDescent="0.35">
      <c r="B60" s="1357" t="s">
        <v>1973</v>
      </c>
      <c r="C60" s="1402" t="s">
        <v>261</v>
      </c>
      <c r="D60" s="1154" t="s">
        <v>262</v>
      </c>
      <c r="E60" s="1186"/>
      <c r="F60" s="1403"/>
      <c r="G60" s="1403"/>
      <c r="H60" s="1404"/>
    </row>
    <row r="61" spans="2:8" ht="15.65" customHeight="1" x14ac:dyDescent="0.35">
      <c r="B61" s="1357"/>
      <c r="C61" s="1402"/>
      <c r="D61" s="1154" t="s">
        <v>263</v>
      </c>
      <c r="E61" s="1186"/>
      <c r="F61" s="1403"/>
      <c r="G61" s="1403"/>
      <c r="H61" s="1404"/>
    </row>
    <row r="62" spans="2:8" ht="16.399999999999999" customHeight="1" thickBot="1" x14ac:dyDescent="0.4">
      <c r="B62" s="298" t="s">
        <v>1974</v>
      </c>
      <c r="C62" s="1179" t="s">
        <v>167</v>
      </c>
      <c r="D62" s="1191" t="s">
        <v>290</v>
      </c>
      <c r="E62" s="1192"/>
      <c r="F62" s="1405" t="s">
        <v>2001</v>
      </c>
      <c r="G62" s="1406"/>
      <c r="H62" s="1407"/>
    </row>
    <row r="63" spans="2:8" ht="15.75" customHeight="1" thickBot="1" x14ac:dyDescent="0.4">
      <c r="C63" s="300"/>
      <c r="D63" s="300"/>
      <c r="E63" s="290"/>
      <c r="F63" s="289"/>
      <c r="G63" s="290"/>
      <c r="H63" s="291"/>
    </row>
    <row r="64" spans="2:8" ht="45.65" customHeight="1" x14ac:dyDescent="0.35">
      <c r="C64" s="1338" t="s">
        <v>301</v>
      </c>
      <c r="D64" s="1339"/>
      <c r="E64" s="1226" t="s">
        <v>2015</v>
      </c>
      <c r="F64" s="1204" t="s">
        <v>302</v>
      </c>
      <c r="G64" s="1226" t="s">
        <v>2016</v>
      </c>
      <c r="H64" s="1205" t="s">
        <v>303</v>
      </c>
    </row>
    <row r="65" spans="3:8" ht="21" customHeight="1" x14ac:dyDescent="0.35">
      <c r="C65" s="1408" t="s">
        <v>1984</v>
      </c>
      <c r="D65" s="1409"/>
      <c r="E65" s="1210">
        <f>'GHG Emissons Breakdown'!E48</f>
        <v>0</v>
      </c>
      <c r="F65" s="1208" t="e">
        <f>+E65/$E$68</f>
        <v>#DIV/0!</v>
      </c>
      <c r="G65" s="1209"/>
      <c r="H65" s="1214" t="e">
        <f>+G65/$G$68</f>
        <v>#DIV/0!</v>
      </c>
    </row>
    <row r="66" spans="3:8" ht="21" customHeight="1" x14ac:dyDescent="0.35">
      <c r="C66" s="1410" t="s">
        <v>1985</v>
      </c>
      <c r="D66" s="1411"/>
      <c r="E66" s="1210">
        <f>'GHG Emissons Breakdown'!E49</f>
        <v>0</v>
      </c>
      <c r="F66" s="1208" t="e">
        <f>+E66/$E$68</f>
        <v>#DIV/0!</v>
      </c>
      <c r="G66" s="1209"/>
      <c r="H66" s="1214" t="e">
        <f>+G66/$G$68</f>
        <v>#DIV/0!</v>
      </c>
    </row>
    <row r="67" spans="3:8" ht="21" customHeight="1" x14ac:dyDescent="0.35">
      <c r="C67" s="1412" t="s">
        <v>1986</v>
      </c>
      <c r="D67" s="1413"/>
      <c r="E67" s="1210">
        <f>'GHG Emissons Breakdown'!E50</f>
        <v>0</v>
      </c>
      <c r="F67" s="1208" t="e">
        <f>+E67/$E$68</f>
        <v>#DIV/0!</v>
      </c>
      <c r="G67" s="1209"/>
      <c r="H67" s="1214" t="e">
        <f>+G67/$G$68</f>
        <v>#DIV/0!</v>
      </c>
    </row>
    <row r="68" spans="3:8" ht="21" customHeight="1" x14ac:dyDescent="0.35">
      <c r="C68" s="1414" t="s">
        <v>1987</v>
      </c>
      <c r="D68" s="1415"/>
      <c r="E68" s="1210">
        <f>'GHG Emissons Breakdown'!E51</f>
        <v>0</v>
      </c>
      <c r="F68" s="308"/>
      <c r="G68" s="1210">
        <f>+G65+G66+G67</f>
        <v>0</v>
      </c>
      <c r="H68" s="346"/>
    </row>
    <row r="69" spans="3:8" ht="12" customHeight="1" x14ac:dyDescent="0.35">
      <c r="C69" s="1416"/>
      <c r="D69" s="1417"/>
      <c r="E69" s="1417"/>
      <c r="F69" s="1417"/>
      <c r="G69" s="1417"/>
      <c r="H69" s="1418"/>
    </row>
    <row r="70" spans="3:8" ht="21" customHeight="1" x14ac:dyDescent="0.35">
      <c r="C70" s="1381" t="s">
        <v>266</v>
      </c>
      <c r="D70" s="1382"/>
      <c r="E70" s="1209"/>
      <c r="F70" s="312"/>
      <c r="G70" s="1209"/>
      <c r="H70" s="1203"/>
    </row>
    <row r="71" spans="3:8" ht="21" customHeight="1" x14ac:dyDescent="0.35">
      <c r="C71" s="1381" t="s">
        <v>267</v>
      </c>
      <c r="D71" s="1382"/>
      <c r="E71" s="1211" t="e">
        <f>+E68*1000/E70</f>
        <v>#DIV/0!</v>
      </c>
      <c r="F71" s="312"/>
      <c r="G71" s="1211" t="e">
        <f>+G68*1000/G70</f>
        <v>#DIV/0!</v>
      </c>
      <c r="H71" s="1203"/>
    </row>
    <row r="72" spans="3:8" ht="12" customHeight="1" x14ac:dyDescent="0.35">
      <c r="C72" s="344"/>
      <c r="D72" s="345"/>
      <c r="E72" s="316"/>
      <c r="F72" s="308"/>
      <c r="G72" s="316"/>
      <c r="H72" s="346"/>
    </row>
    <row r="73" spans="3:8" ht="21" customHeight="1" x14ac:dyDescent="0.35">
      <c r="C73" s="1377" t="s">
        <v>304</v>
      </c>
      <c r="D73" s="1378"/>
      <c r="E73" s="1206"/>
      <c r="F73" s="318"/>
      <c r="G73" s="343"/>
      <c r="H73" s="1207"/>
    </row>
    <row r="74" spans="3:8" ht="30" customHeight="1" x14ac:dyDescent="0.35">
      <c r="C74" s="1379" t="s">
        <v>269</v>
      </c>
      <c r="D74" s="1380"/>
      <c r="E74" s="1209"/>
      <c r="F74" s="1212"/>
      <c r="G74" s="1209"/>
      <c r="H74" s="1215"/>
    </row>
    <row r="75" spans="3:8" ht="13" customHeight="1" x14ac:dyDescent="0.35">
      <c r="C75" s="342"/>
      <c r="D75" s="347"/>
      <c r="E75" s="348"/>
      <c r="F75" s="349"/>
      <c r="G75" s="348"/>
      <c r="H75" s="350"/>
    </row>
    <row r="76" spans="3:8" ht="21" customHeight="1" x14ac:dyDescent="0.35">
      <c r="C76" s="1381" t="s">
        <v>305</v>
      </c>
      <c r="D76" s="1382"/>
      <c r="E76" s="1211" t="e">
        <f>+(E68-E74)*1000/E70</f>
        <v>#DIV/0!</v>
      </c>
      <c r="F76" s="312"/>
      <c r="G76" s="1211" t="e">
        <f>+(G68-G74)*1000/G70</f>
        <v>#DIV/0!</v>
      </c>
      <c r="H76" s="1203"/>
    </row>
    <row r="77" spans="3:8" ht="21" customHeight="1" x14ac:dyDescent="0.35">
      <c r="C77" s="1381" t="s">
        <v>306</v>
      </c>
      <c r="D77" s="1382"/>
      <c r="E77" s="1212" t="e">
        <f>(E76-G76)/G76</f>
        <v>#DIV/0!</v>
      </c>
      <c r="F77" s="349"/>
      <c r="G77" s="348"/>
      <c r="H77" s="350"/>
    </row>
    <row r="78" spans="3:8" ht="21" customHeight="1" x14ac:dyDescent="0.35">
      <c r="C78" s="1381" t="s">
        <v>307</v>
      </c>
      <c r="D78" s="1382"/>
      <c r="E78" s="1213">
        <f>((E68-E74)-(G68-G74))</f>
        <v>0</v>
      </c>
      <c r="F78" s="349"/>
      <c r="G78" s="348"/>
      <c r="H78" s="350"/>
    </row>
    <row r="79" spans="3:8" ht="12" customHeight="1" x14ac:dyDescent="0.5">
      <c r="C79" s="351"/>
      <c r="D79" s="352"/>
      <c r="E79" s="353"/>
      <c r="F79" s="295"/>
      <c r="G79" s="294"/>
      <c r="H79" s="354"/>
    </row>
    <row r="80" spans="3:8" ht="21" customHeight="1" x14ac:dyDescent="0.5">
      <c r="C80" s="1383" t="s">
        <v>2002</v>
      </c>
      <c r="D80" s="1384"/>
      <c r="E80" s="1268">
        <f>Electricity!B8</f>
        <v>0</v>
      </c>
      <c r="F80" s="1398"/>
      <c r="G80" s="1399"/>
      <c r="H80" s="354"/>
    </row>
    <row r="81" spans="1:35" ht="100.9" customHeight="1" x14ac:dyDescent="0.35">
      <c r="C81" s="1396" t="s">
        <v>2003</v>
      </c>
      <c r="D81" s="1397"/>
      <c r="E81" s="1217" t="s">
        <v>2005</v>
      </c>
      <c r="F81" s="1400" t="s">
        <v>2004</v>
      </c>
      <c r="G81" s="1401"/>
      <c r="H81" s="354"/>
    </row>
    <row r="82" spans="1:35" ht="12" customHeight="1" x14ac:dyDescent="0.5">
      <c r="C82" s="351"/>
      <c r="D82" s="352"/>
      <c r="E82" s="353"/>
      <c r="F82" s="295"/>
      <c r="G82" s="294"/>
      <c r="H82" s="354"/>
    </row>
    <row r="83" spans="1:35" ht="20.149999999999999" customHeight="1" x14ac:dyDescent="0.5">
      <c r="C83" s="1385" t="s">
        <v>2006</v>
      </c>
      <c r="D83" s="1386"/>
      <c r="E83" s="1386"/>
      <c r="F83" s="1386"/>
      <c r="G83" s="1386"/>
      <c r="H83" s="1387"/>
    </row>
    <row r="84" spans="1:35" ht="50.15" customHeight="1" x14ac:dyDescent="0.35">
      <c r="C84" s="1388"/>
      <c r="D84" s="1389"/>
      <c r="E84" s="1389"/>
      <c r="F84" s="1389"/>
      <c r="G84" s="1389"/>
      <c r="H84" s="1390"/>
    </row>
    <row r="85" spans="1:35" ht="12.65" customHeight="1" x14ac:dyDescent="0.35">
      <c r="C85" s="355"/>
      <c r="D85" s="356"/>
      <c r="E85" s="294"/>
      <c r="F85" s="295"/>
      <c r="G85" s="294"/>
      <c r="H85" s="354"/>
    </row>
    <row r="86" spans="1:35" ht="19.149999999999999" customHeight="1" x14ac:dyDescent="0.45">
      <c r="C86" s="1391" t="s">
        <v>308</v>
      </c>
      <c r="D86" s="1392"/>
      <c r="E86" s="1209">
        <f>Summary!F119</f>
        <v>0</v>
      </c>
      <c r="F86" s="308"/>
      <c r="G86" s="1209"/>
      <c r="H86" s="354"/>
    </row>
    <row r="87" spans="1:35" ht="12.65" customHeight="1" x14ac:dyDescent="0.35">
      <c r="C87" s="355"/>
      <c r="D87" s="356"/>
      <c r="E87" s="294" t="s">
        <v>309</v>
      </c>
      <c r="F87" s="295"/>
      <c r="G87" s="294"/>
      <c r="H87" s="354"/>
    </row>
    <row r="88" spans="1:35" ht="18.5" x14ac:dyDescent="0.45">
      <c r="C88" s="1391" t="s">
        <v>310</v>
      </c>
      <c r="D88" s="1392"/>
      <c r="E88" s="317"/>
      <c r="F88" s="318"/>
      <c r="G88" s="343"/>
      <c r="H88" s="1207"/>
    </row>
    <row r="89" spans="1:35" x14ac:dyDescent="0.35">
      <c r="C89" s="1393" t="s">
        <v>168</v>
      </c>
      <c r="D89" s="357" t="s">
        <v>311</v>
      </c>
      <c r="E89" s="1218">
        <f>Winemaking!B4</f>
        <v>0</v>
      </c>
      <c r="F89" s="1216" t="str">
        <f>IFERROR(E89/#REF!, " ")</f>
        <v xml:space="preserve"> </v>
      </c>
      <c r="G89" s="1218"/>
      <c r="H89" s="1219" t="str">
        <f>IFERROR(G89/#REF!, " ")</f>
        <v xml:space="preserve"> </v>
      </c>
    </row>
    <row r="90" spans="1:35" x14ac:dyDescent="0.35">
      <c r="C90" s="1394"/>
      <c r="D90" s="357" t="s">
        <v>312</v>
      </c>
      <c r="E90" s="1218">
        <f>'Vineyard - Biomass Photosynth'!D5</f>
        <v>0</v>
      </c>
      <c r="F90" s="1216" t="str">
        <f>IFERROR(E90/#REF!, " ")</f>
        <v xml:space="preserve"> </v>
      </c>
      <c r="G90" s="1218"/>
      <c r="H90" s="1219" t="str">
        <f>IFERROR(G90/#REF!, " ")</f>
        <v xml:space="preserve"> </v>
      </c>
    </row>
    <row r="91" spans="1:35" x14ac:dyDescent="0.35">
      <c r="C91" s="1394"/>
      <c r="D91" s="357" t="s">
        <v>313</v>
      </c>
      <c r="E91" s="1218">
        <f>'Vineyard - Row Cropping'!A5</f>
        <v>0</v>
      </c>
      <c r="F91" s="1216"/>
      <c r="G91" s="1218"/>
      <c r="H91" s="1219"/>
    </row>
    <row r="92" spans="1:35" ht="15" thickBot="1" x14ac:dyDescent="0.4">
      <c r="C92" s="1395"/>
      <c r="D92" s="358" t="s">
        <v>314</v>
      </c>
      <c r="E92" s="1220">
        <f>'Compost Application'!B5</f>
        <v>0</v>
      </c>
      <c r="F92" s="1221" t="str">
        <f>IFERROR(E92/#REF!, " ")</f>
        <v xml:space="preserve"> </v>
      </c>
      <c r="G92" s="1220"/>
      <c r="H92" s="1222" t="str">
        <f>IFERROR(G92/#REF!, " ")</f>
        <v xml:space="preserve"> </v>
      </c>
    </row>
    <row r="93" spans="1:35" ht="15" thickBot="1" x14ac:dyDescent="0.4">
      <c r="C93" s="1376"/>
      <c r="D93" s="1376"/>
      <c r="E93" s="290"/>
      <c r="F93" s="289"/>
      <c r="G93" s="290"/>
      <c r="H93" s="289"/>
    </row>
    <row r="94" spans="1:35" ht="16.5" customHeight="1" thickBot="1" x14ac:dyDescent="0.4">
      <c r="C94" s="1223" t="s">
        <v>315</v>
      </c>
      <c r="D94" s="1364" t="s">
        <v>316</v>
      </c>
      <c r="E94" s="1365"/>
      <c r="F94" s="1365"/>
      <c r="G94" s="1365"/>
      <c r="H94" s="1366"/>
    </row>
    <row r="95" spans="1:35" s="324" customFormat="1" ht="69" customHeight="1" x14ac:dyDescent="0.35">
      <c r="A95" s="1176"/>
      <c r="B95" s="291"/>
      <c r="C95" s="1367" t="s">
        <v>2007</v>
      </c>
      <c r="D95" s="1368"/>
      <c r="E95" s="1373" t="s">
        <v>2009</v>
      </c>
      <c r="F95" s="1301"/>
      <c r="G95" s="1301"/>
      <c r="H95" s="1302"/>
      <c r="I95" s="322"/>
      <c r="J95" s="322"/>
      <c r="K95" s="322"/>
      <c r="L95" s="322"/>
      <c r="M95" s="322"/>
      <c r="N95" s="322"/>
      <c r="O95" s="322"/>
      <c r="P95" s="322"/>
      <c r="Q95" s="322"/>
      <c r="R95" s="322"/>
      <c r="S95" s="322"/>
      <c r="T95" s="322"/>
      <c r="U95" s="322"/>
      <c r="V95" s="322"/>
      <c r="W95" s="322"/>
      <c r="X95" s="322"/>
      <c r="Y95" s="322"/>
      <c r="Z95" s="322"/>
      <c r="AA95" s="322"/>
      <c r="AB95" s="323"/>
      <c r="AC95" s="323"/>
      <c r="AD95" s="323"/>
      <c r="AE95" s="323"/>
      <c r="AF95" s="323"/>
      <c r="AG95" s="323"/>
      <c r="AH95" s="323"/>
      <c r="AI95" s="323"/>
    </row>
    <row r="96" spans="1:35" s="309" customFormat="1" ht="5.15" customHeight="1" x14ac:dyDescent="0.35">
      <c r="A96" s="1177"/>
      <c r="B96" s="291"/>
      <c r="C96" s="1224"/>
      <c r="D96" s="291"/>
      <c r="E96" s="1374"/>
      <c r="F96" s="1304"/>
      <c r="G96" s="1304"/>
      <c r="H96" s="1305"/>
      <c r="I96" s="291"/>
      <c r="J96" s="291"/>
      <c r="K96" s="291"/>
      <c r="L96" s="291"/>
      <c r="M96" s="291"/>
      <c r="N96" s="291"/>
      <c r="O96" s="291"/>
      <c r="P96" s="291"/>
      <c r="Q96" s="291"/>
      <c r="R96" s="291"/>
      <c r="S96" s="291"/>
      <c r="T96" s="291"/>
      <c r="U96" s="291"/>
      <c r="V96" s="291"/>
      <c r="W96" s="291"/>
      <c r="X96" s="291"/>
      <c r="Y96" s="291"/>
      <c r="Z96" s="291"/>
      <c r="AA96" s="291"/>
    </row>
    <row r="97" spans="1:27" s="309" customFormat="1" ht="15" customHeight="1" x14ac:dyDescent="0.35">
      <c r="A97" s="1177"/>
      <c r="B97" s="322"/>
      <c r="C97" s="1369" t="s">
        <v>270</v>
      </c>
      <c r="D97" s="1309"/>
      <c r="E97" s="1374"/>
      <c r="F97" s="1304"/>
      <c r="G97" s="1304"/>
      <c r="H97" s="1305"/>
      <c r="I97" s="291"/>
      <c r="J97" s="291"/>
      <c r="K97" s="291"/>
      <c r="L97" s="291"/>
      <c r="M97" s="291"/>
      <c r="N97" s="291"/>
      <c r="O97" s="291"/>
      <c r="P97" s="291"/>
      <c r="Q97" s="291"/>
      <c r="R97" s="291"/>
      <c r="S97" s="291"/>
      <c r="T97" s="291"/>
      <c r="U97" s="291"/>
      <c r="V97" s="291"/>
      <c r="W97" s="291"/>
      <c r="X97" s="291"/>
      <c r="Y97" s="291"/>
      <c r="Z97" s="291"/>
      <c r="AA97" s="291"/>
    </row>
    <row r="98" spans="1:27" ht="215.25" customHeight="1" x14ac:dyDescent="0.35">
      <c r="C98" s="1370" t="s">
        <v>2008</v>
      </c>
      <c r="D98" s="1311"/>
      <c r="E98" s="1374"/>
      <c r="F98" s="1304"/>
      <c r="G98" s="1304"/>
      <c r="H98" s="1305"/>
    </row>
    <row r="99" spans="1:27" s="309" customFormat="1" ht="15.65" customHeight="1" x14ac:dyDescent="0.35">
      <c r="A99" s="1177"/>
      <c r="B99" s="291"/>
      <c r="C99" s="1370"/>
      <c r="D99" s="1311"/>
      <c r="E99" s="1374"/>
      <c r="F99" s="1304"/>
      <c r="G99" s="1304"/>
      <c r="H99" s="1305"/>
      <c r="I99" s="291"/>
      <c r="J99" s="291"/>
      <c r="K99" s="291"/>
      <c r="L99" s="291"/>
      <c r="M99" s="291"/>
      <c r="N99" s="291"/>
      <c r="O99" s="291"/>
      <c r="P99" s="291"/>
      <c r="Q99" s="291"/>
      <c r="R99" s="291"/>
      <c r="S99" s="291"/>
      <c r="T99" s="291"/>
      <c r="U99" s="291"/>
      <c r="V99" s="291"/>
      <c r="W99" s="291"/>
      <c r="X99" s="291"/>
      <c r="Y99" s="291"/>
      <c r="Z99" s="291"/>
      <c r="AA99" s="291"/>
    </row>
    <row r="100" spans="1:27" s="309" customFormat="1" ht="15.65" customHeight="1" x14ac:dyDescent="0.35">
      <c r="A100" s="1177"/>
      <c r="B100" s="291"/>
      <c r="C100" s="1370"/>
      <c r="D100" s="1311"/>
      <c r="E100" s="1374"/>
      <c r="F100" s="1304"/>
      <c r="G100" s="1304"/>
      <c r="H100" s="1305"/>
      <c r="I100" s="291"/>
      <c r="J100" s="291"/>
      <c r="K100" s="291"/>
      <c r="L100" s="291"/>
      <c r="M100" s="291"/>
      <c r="N100" s="291"/>
      <c r="O100" s="291"/>
      <c r="P100" s="291"/>
      <c r="Q100" s="291"/>
      <c r="R100" s="291"/>
      <c r="S100" s="291"/>
      <c r="T100" s="291"/>
      <c r="U100" s="291"/>
      <c r="V100" s="291"/>
      <c r="W100" s="291"/>
      <c r="X100" s="291"/>
      <c r="Y100" s="291"/>
      <c r="Z100" s="291"/>
      <c r="AA100" s="291"/>
    </row>
    <row r="101" spans="1:27" s="309" customFormat="1" x14ac:dyDescent="0.35">
      <c r="A101" s="1177"/>
      <c r="B101" s="291"/>
      <c r="C101" s="1370"/>
      <c r="D101" s="1311"/>
      <c r="E101" s="1374"/>
      <c r="F101" s="1304"/>
      <c r="G101" s="1304"/>
      <c r="H101" s="1305"/>
      <c r="I101" s="291"/>
      <c r="J101" s="291"/>
      <c r="K101" s="291"/>
      <c r="L101" s="291"/>
      <c r="M101" s="291"/>
      <c r="N101" s="291"/>
      <c r="O101" s="291"/>
      <c r="P101" s="291"/>
      <c r="Q101" s="291"/>
      <c r="R101" s="291"/>
      <c r="S101" s="291"/>
      <c r="T101" s="291"/>
      <c r="U101" s="291"/>
      <c r="V101" s="291"/>
      <c r="W101" s="291"/>
      <c r="X101" s="291"/>
      <c r="Y101" s="291"/>
      <c r="Z101" s="291"/>
      <c r="AA101" s="291"/>
    </row>
    <row r="102" spans="1:27" s="309" customFormat="1" ht="15" thickBot="1" x14ac:dyDescent="0.4">
      <c r="A102" s="1177"/>
      <c r="B102" s="291"/>
      <c r="C102" s="1371"/>
      <c r="D102" s="1372"/>
      <c r="E102" s="1375"/>
      <c r="F102" s="1307"/>
      <c r="G102" s="1307"/>
      <c r="H102" s="1308"/>
      <c r="I102" s="291"/>
      <c r="J102" s="291"/>
      <c r="K102" s="291"/>
      <c r="L102" s="291"/>
      <c r="M102" s="291"/>
      <c r="N102" s="291"/>
      <c r="O102" s="291"/>
      <c r="P102" s="291"/>
      <c r="Q102" s="291"/>
      <c r="R102" s="291"/>
      <c r="S102" s="291"/>
      <c r="T102" s="291"/>
      <c r="U102" s="291"/>
      <c r="V102" s="291"/>
      <c r="W102" s="291"/>
      <c r="X102" s="291"/>
      <c r="Y102" s="291"/>
      <c r="Z102" s="291"/>
      <c r="AA102" s="291"/>
    </row>
    <row r="103" spans="1:27" s="309" customFormat="1" x14ac:dyDescent="0.35">
      <c r="A103" s="1177"/>
      <c r="B103" s="291"/>
      <c r="C103" s="291"/>
      <c r="D103" s="291"/>
      <c r="E103" s="327"/>
      <c r="F103" s="328"/>
      <c r="G103" s="327"/>
      <c r="H103" s="291"/>
      <c r="I103" s="291"/>
      <c r="J103" s="291"/>
      <c r="K103" s="291"/>
      <c r="L103" s="291"/>
      <c r="M103" s="291"/>
      <c r="N103" s="291"/>
      <c r="O103" s="291"/>
      <c r="P103" s="291"/>
      <c r="Q103" s="291"/>
      <c r="R103" s="291"/>
      <c r="S103" s="291"/>
      <c r="T103" s="291"/>
      <c r="U103" s="291"/>
      <c r="V103" s="291"/>
      <c r="W103" s="291"/>
      <c r="X103" s="291"/>
      <c r="Y103" s="291"/>
      <c r="Z103" s="291"/>
      <c r="AA103" s="291"/>
    </row>
    <row r="104" spans="1:27" s="309" customFormat="1" x14ac:dyDescent="0.35">
      <c r="A104" s="1177"/>
      <c r="B104" s="291"/>
      <c r="C104" s="291"/>
      <c r="D104" s="291"/>
      <c r="E104" s="327"/>
      <c r="F104" s="328"/>
      <c r="G104" s="327"/>
      <c r="H104" s="291"/>
      <c r="I104" s="291"/>
      <c r="J104" s="291"/>
      <c r="K104" s="291"/>
      <c r="L104" s="291"/>
      <c r="M104" s="291"/>
      <c r="N104" s="291"/>
      <c r="O104" s="291"/>
      <c r="P104" s="291"/>
      <c r="Q104" s="291"/>
      <c r="R104" s="291"/>
      <c r="S104" s="291"/>
      <c r="T104" s="291"/>
      <c r="U104" s="291"/>
      <c r="V104" s="291"/>
      <c r="W104" s="291"/>
      <c r="X104" s="291"/>
      <c r="Y104" s="291"/>
      <c r="Z104" s="291"/>
      <c r="AA104" s="291"/>
    </row>
    <row r="105" spans="1:27" s="309" customFormat="1" x14ac:dyDescent="0.35">
      <c r="A105" s="1177"/>
      <c r="B105" s="291"/>
      <c r="C105" s="291"/>
      <c r="D105" s="291"/>
      <c r="E105" s="327"/>
      <c r="F105" s="328"/>
      <c r="G105" s="327"/>
      <c r="H105" s="291"/>
      <c r="I105" s="291"/>
      <c r="J105" s="291"/>
      <c r="K105" s="291"/>
      <c r="L105" s="291"/>
      <c r="M105" s="291"/>
      <c r="N105" s="291"/>
      <c r="O105" s="291"/>
      <c r="P105" s="291"/>
      <c r="Q105" s="291"/>
      <c r="R105" s="291"/>
      <c r="S105" s="291"/>
      <c r="T105" s="291"/>
      <c r="U105" s="291"/>
      <c r="V105" s="291"/>
      <c r="W105" s="291"/>
      <c r="X105" s="291"/>
      <c r="Y105" s="291"/>
      <c r="Z105" s="291"/>
      <c r="AA105" s="291"/>
    </row>
    <row r="106" spans="1:27" s="309" customFormat="1" x14ac:dyDescent="0.35">
      <c r="A106" s="1177"/>
      <c r="B106" s="291"/>
      <c r="C106" s="291"/>
      <c r="D106" s="291"/>
      <c r="E106" s="327"/>
      <c r="F106" s="328"/>
      <c r="G106" s="327"/>
      <c r="H106" s="291"/>
      <c r="I106" s="291"/>
      <c r="J106" s="291"/>
      <c r="K106" s="291"/>
      <c r="L106" s="291"/>
      <c r="M106" s="291"/>
      <c r="N106" s="291"/>
      <c r="O106" s="291"/>
      <c r="P106" s="291"/>
      <c r="Q106" s="291"/>
      <c r="R106" s="291"/>
      <c r="S106" s="291"/>
      <c r="T106" s="291"/>
      <c r="U106" s="291"/>
      <c r="V106" s="291"/>
      <c r="W106" s="291"/>
      <c r="X106" s="291"/>
      <c r="Y106" s="291"/>
      <c r="Z106" s="291"/>
      <c r="AA106" s="291"/>
    </row>
    <row r="107" spans="1:27" s="309" customFormat="1" x14ac:dyDescent="0.35">
      <c r="A107" s="1177"/>
      <c r="B107" s="291"/>
      <c r="C107" s="291"/>
      <c r="D107" s="291"/>
      <c r="E107" s="327"/>
      <c r="F107" s="328"/>
      <c r="G107" s="327"/>
      <c r="H107" s="291"/>
      <c r="I107" s="291"/>
      <c r="J107" s="291"/>
      <c r="K107" s="291"/>
      <c r="L107" s="291"/>
      <c r="M107" s="291"/>
      <c r="N107" s="291"/>
      <c r="O107" s="291"/>
      <c r="P107" s="291"/>
      <c r="Q107" s="291"/>
      <c r="R107" s="291"/>
      <c r="S107" s="291"/>
      <c r="T107" s="291"/>
      <c r="U107" s="291"/>
      <c r="V107" s="291"/>
      <c r="W107" s="291"/>
      <c r="X107" s="291"/>
      <c r="Y107" s="291"/>
      <c r="Z107" s="291"/>
      <c r="AA107" s="291"/>
    </row>
    <row r="108" spans="1:27" s="309" customFormat="1" x14ac:dyDescent="0.35">
      <c r="A108" s="1177"/>
      <c r="B108" s="291"/>
      <c r="C108" s="291"/>
      <c r="D108" s="291"/>
      <c r="E108" s="327"/>
      <c r="F108" s="328"/>
      <c r="G108" s="327"/>
      <c r="H108" s="291"/>
      <c r="I108" s="291"/>
      <c r="J108" s="291"/>
      <c r="K108" s="291"/>
      <c r="L108" s="291"/>
      <c r="M108" s="291"/>
      <c r="N108" s="291"/>
      <c r="O108" s="291"/>
      <c r="P108" s="291"/>
      <c r="Q108" s="291"/>
      <c r="R108" s="291"/>
      <c r="S108" s="291"/>
      <c r="T108" s="291"/>
      <c r="U108" s="291"/>
      <c r="V108" s="291"/>
      <c r="W108" s="291"/>
      <c r="X108" s="291"/>
      <c r="Y108" s="291"/>
      <c r="Z108" s="291"/>
      <c r="AA108" s="291"/>
    </row>
    <row r="109" spans="1:27" s="309" customFormat="1" x14ac:dyDescent="0.35">
      <c r="A109" s="1177"/>
      <c r="B109" s="291"/>
      <c r="C109" s="291"/>
      <c r="D109" s="291"/>
      <c r="E109" s="327"/>
      <c r="F109" s="328"/>
      <c r="G109" s="327"/>
      <c r="H109" s="291"/>
      <c r="I109" s="291"/>
      <c r="J109" s="291"/>
      <c r="K109" s="291"/>
      <c r="L109" s="291"/>
      <c r="M109" s="291"/>
      <c r="N109" s="291"/>
      <c r="O109" s="291"/>
      <c r="P109" s="291"/>
      <c r="Q109" s="291"/>
      <c r="R109" s="291"/>
      <c r="S109" s="291"/>
      <c r="T109" s="291"/>
      <c r="U109" s="291"/>
      <c r="V109" s="291"/>
      <c r="W109" s="291"/>
      <c r="X109" s="291"/>
      <c r="Y109" s="291"/>
      <c r="Z109" s="291"/>
      <c r="AA109" s="291"/>
    </row>
    <row r="110" spans="1:27" s="309" customFormat="1" x14ac:dyDescent="0.35">
      <c r="A110" s="1177"/>
      <c r="B110" s="291"/>
      <c r="C110" s="291"/>
      <c r="D110" s="291"/>
      <c r="E110" s="327"/>
      <c r="F110" s="328"/>
      <c r="G110" s="327"/>
      <c r="H110" s="291"/>
      <c r="I110" s="291"/>
      <c r="J110" s="291"/>
      <c r="K110" s="291"/>
      <c r="L110" s="291"/>
      <c r="M110" s="291"/>
      <c r="N110" s="291"/>
      <c r="O110" s="291"/>
      <c r="P110" s="291"/>
      <c r="Q110" s="291"/>
      <c r="R110" s="291"/>
      <c r="S110" s="291"/>
      <c r="T110" s="291"/>
      <c r="U110" s="291"/>
      <c r="V110" s="291"/>
      <c r="W110" s="291"/>
      <c r="X110" s="291"/>
      <c r="Y110" s="291"/>
      <c r="Z110" s="291"/>
      <c r="AA110" s="291"/>
    </row>
    <row r="111" spans="1:27" s="309" customFormat="1" x14ac:dyDescent="0.35">
      <c r="A111" s="1177"/>
      <c r="B111" s="291"/>
      <c r="C111" s="291"/>
      <c r="D111" s="291"/>
      <c r="E111" s="327"/>
      <c r="F111" s="328"/>
      <c r="G111" s="327"/>
      <c r="H111" s="291"/>
      <c r="I111" s="291"/>
      <c r="J111" s="291"/>
      <c r="K111" s="291"/>
      <c r="L111" s="291"/>
      <c r="M111" s="291"/>
      <c r="N111" s="291"/>
      <c r="O111" s="291"/>
      <c r="P111" s="291"/>
      <c r="Q111" s="291"/>
      <c r="R111" s="291"/>
      <c r="S111" s="291"/>
      <c r="T111" s="291"/>
      <c r="U111" s="291"/>
      <c r="V111" s="291"/>
      <c r="W111" s="291"/>
      <c r="X111" s="291"/>
      <c r="Y111" s="291"/>
      <c r="Z111" s="291"/>
      <c r="AA111" s="291"/>
    </row>
    <row r="112" spans="1:27" s="309" customFormat="1" x14ac:dyDescent="0.35">
      <c r="A112" s="1177"/>
      <c r="B112" s="291"/>
      <c r="C112" s="291"/>
      <c r="D112" s="291"/>
      <c r="E112" s="327"/>
      <c r="F112" s="328"/>
      <c r="G112" s="327"/>
      <c r="H112" s="291"/>
      <c r="I112" s="291"/>
      <c r="J112" s="291"/>
      <c r="K112" s="291"/>
      <c r="L112" s="291"/>
      <c r="M112" s="291"/>
      <c r="N112" s="291"/>
      <c r="O112" s="291"/>
      <c r="P112" s="291"/>
      <c r="Q112" s="291"/>
      <c r="R112" s="291"/>
      <c r="S112" s="291"/>
      <c r="T112" s="291"/>
      <c r="U112" s="291"/>
      <c r="V112" s="291"/>
      <c r="W112" s="291"/>
      <c r="X112" s="291"/>
      <c r="Y112" s="291"/>
      <c r="Z112" s="291"/>
      <c r="AA112" s="291"/>
    </row>
    <row r="113" spans="1:27" s="309" customFormat="1" x14ac:dyDescent="0.35">
      <c r="A113" s="1177"/>
      <c r="B113" s="291"/>
      <c r="C113" s="291"/>
      <c r="D113" s="291"/>
      <c r="E113" s="327"/>
      <c r="F113" s="328"/>
      <c r="G113" s="327"/>
      <c r="H113" s="291"/>
      <c r="I113" s="291"/>
      <c r="J113" s="291"/>
      <c r="K113" s="291"/>
      <c r="L113" s="291"/>
      <c r="M113" s="291"/>
      <c r="N113" s="291"/>
      <c r="O113" s="291"/>
      <c r="P113" s="291"/>
      <c r="Q113" s="291"/>
      <c r="R113" s="291"/>
      <c r="S113" s="291"/>
      <c r="T113" s="291"/>
      <c r="U113" s="291"/>
      <c r="V113" s="291"/>
      <c r="W113" s="291"/>
      <c r="X113" s="291"/>
      <c r="Y113" s="291"/>
      <c r="Z113" s="291"/>
      <c r="AA113" s="291"/>
    </row>
    <row r="114" spans="1:27" s="309" customFormat="1" x14ac:dyDescent="0.35">
      <c r="A114" s="1177"/>
      <c r="B114" s="291"/>
      <c r="C114" s="291"/>
      <c r="D114" s="291"/>
      <c r="E114" s="327"/>
      <c r="F114" s="328"/>
      <c r="G114" s="327"/>
      <c r="H114" s="291"/>
      <c r="I114" s="291"/>
      <c r="J114" s="291"/>
      <c r="K114" s="291"/>
      <c r="L114" s="291"/>
      <c r="M114" s="291"/>
      <c r="N114" s="291"/>
      <c r="O114" s="291"/>
      <c r="P114" s="291"/>
      <c r="Q114" s="291"/>
      <c r="R114" s="291"/>
      <c r="S114" s="291"/>
      <c r="T114" s="291"/>
      <c r="U114" s="291"/>
      <c r="V114" s="291"/>
      <c r="W114" s="291"/>
      <c r="X114" s="291"/>
      <c r="Y114" s="291"/>
      <c r="Z114" s="291"/>
      <c r="AA114" s="291"/>
    </row>
    <row r="115" spans="1:27" s="309" customFormat="1" x14ac:dyDescent="0.35">
      <c r="A115" s="1177"/>
      <c r="B115" s="291"/>
      <c r="C115" s="291"/>
      <c r="D115" s="291"/>
      <c r="E115" s="327"/>
      <c r="F115" s="328"/>
      <c r="G115" s="327"/>
      <c r="H115" s="291"/>
      <c r="I115" s="291"/>
      <c r="J115" s="291"/>
      <c r="K115" s="291"/>
      <c r="L115" s="291"/>
      <c r="M115" s="291"/>
      <c r="N115" s="291"/>
      <c r="O115" s="291"/>
      <c r="P115" s="291"/>
      <c r="Q115" s="291"/>
      <c r="R115" s="291"/>
      <c r="S115" s="291"/>
      <c r="T115" s="291"/>
      <c r="U115" s="291"/>
      <c r="V115" s="291"/>
      <c r="W115" s="291"/>
      <c r="X115" s="291"/>
      <c r="Y115" s="291"/>
      <c r="Z115" s="291"/>
      <c r="AA115" s="291"/>
    </row>
    <row r="116" spans="1:27" s="309" customFormat="1" x14ac:dyDescent="0.35">
      <c r="A116" s="1177"/>
      <c r="B116" s="291"/>
      <c r="C116" s="291"/>
      <c r="D116" s="291"/>
      <c r="E116" s="327"/>
      <c r="F116" s="328"/>
      <c r="G116" s="327"/>
      <c r="H116" s="291"/>
      <c r="I116" s="291"/>
      <c r="J116" s="291"/>
      <c r="K116" s="291"/>
      <c r="L116" s="291"/>
      <c r="M116" s="291"/>
      <c r="N116" s="291"/>
      <c r="O116" s="291"/>
      <c r="P116" s="291"/>
      <c r="Q116" s="291"/>
      <c r="R116" s="291"/>
      <c r="S116" s="291"/>
      <c r="T116" s="291"/>
      <c r="U116" s="291"/>
      <c r="V116" s="291"/>
      <c r="W116" s="291"/>
      <c r="X116" s="291"/>
      <c r="Y116" s="291"/>
      <c r="Z116" s="291"/>
      <c r="AA116" s="291"/>
    </row>
    <row r="117" spans="1:27" s="309" customFormat="1" x14ac:dyDescent="0.35">
      <c r="A117" s="1177"/>
      <c r="B117" s="291"/>
      <c r="C117" s="291"/>
      <c r="D117" s="291"/>
      <c r="E117" s="327"/>
      <c r="F117" s="328"/>
      <c r="G117" s="327"/>
      <c r="H117" s="291"/>
      <c r="I117" s="291"/>
      <c r="J117" s="291"/>
      <c r="K117" s="291"/>
      <c r="L117" s="291"/>
      <c r="M117" s="291"/>
      <c r="N117" s="291"/>
      <c r="O117" s="291"/>
      <c r="P117" s="291"/>
      <c r="Q117" s="291"/>
      <c r="R117" s="291"/>
      <c r="S117" s="291"/>
      <c r="T117" s="291"/>
      <c r="U117" s="291"/>
      <c r="V117" s="291"/>
      <c r="W117" s="291"/>
      <c r="X117" s="291"/>
      <c r="Y117" s="291"/>
      <c r="Z117" s="291"/>
      <c r="AA117" s="291"/>
    </row>
    <row r="118" spans="1:27" s="309" customFormat="1" x14ac:dyDescent="0.35">
      <c r="A118" s="1177"/>
      <c r="B118" s="291"/>
      <c r="C118" s="291"/>
      <c r="D118" s="291"/>
      <c r="E118" s="327"/>
      <c r="F118" s="328"/>
      <c r="G118" s="327"/>
      <c r="H118" s="291"/>
      <c r="I118" s="291"/>
      <c r="J118" s="291"/>
      <c r="K118" s="291"/>
      <c r="L118" s="291"/>
      <c r="M118" s="291"/>
      <c r="N118" s="291"/>
      <c r="O118" s="291"/>
      <c r="P118" s="291"/>
      <c r="Q118" s="291"/>
      <c r="R118" s="291"/>
      <c r="S118" s="291"/>
      <c r="T118" s="291"/>
      <c r="U118" s="291"/>
      <c r="V118" s="291"/>
      <c r="W118" s="291"/>
      <c r="X118" s="291"/>
      <c r="Y118" s="291"/>
      <c r="Z118" s="291"/>
      <c r="AA118" s="291"/>
    </row>
    <row r="119" spans="1:27" s="309" customFormat="1" x14ac:dyDescent="0.35">
      <c r="A119" s="1177"/>
      <c r="B119" s="291"/>
      <c r="C119" s="291"/>
      <c r="D119" s="291"/>
      <c r="E119" s="327"/>
      <c r="F119" s="328"/>
      <c r="G119" s="327"/>
      <c r="H119" s="291"/>
      <c r="I119" s="291"/>
      <c r="J119" s="291"/>
      <c r="K119" s="291"/>
      <c r="L119" s="291"/>
      <c r="M119" s="291"/>
      <c r="N119" s="291"/>
      <c r="O119" s="291"/>
      <c r="P119" s="291"/>
      <c r="Q119" s="291"/>
      <c r="R119" s="291"/>
      <c r="S119" s="291"/>
      <c r="T119" s="291"/>
      <c r="U119" s="291"/>
      <c r="V119" s="291"/>
      <c r="W119" s="291"/>
      <c r="X119" s="291"/>
      <c r="Y119" s="291"/>
      <c r="Z119" s="291"/>
      <c r="AA119" s="291"/>
    </row>
    <row r="120" spans="1:27" s="309" customFormat="1" x14ac:dyDescent="0.35">
      <c r="A120" s="1177"/>
      <c r="B120" s="291"/>
      <c r="C120" s="291"/>
      <c r="D120" s="291"/>
      <c r="E120" s="327"/>
      <c r="F120" s="328"/>
      <c r="G120" s="327"/>
      <c r="H120" s="291"/>
      <c r="I120" s="291"/>
      <c r="J120" s="291"/>
      <c r="K120" s="291"/>
      <c r="L120" s="291"/>
      <c r="M120" s="291"/>
      <c r="N120" s="291"/>
      <c r="O120" s="291"/>
      <c r="P120" s="291"/>
      <c r="Q120" s="291"/>
      <c r="R120" s="291"/>
      <c r="S120" s="291"/>
      <c r="T120" s="291"/>
      <c r="U120" s="291"/>
      <c r="V120" s="291"/>
      <c r="W120" s="291"/>
      <c r="X120" s="291"/>
      <c r="Y120" s="291"/>
      <c r="Z120" s="291"/>
      <c r="AA120" s="291"/>
    </row>
    <row r="121" spans="1:27" s="309" customFormat="1" x14ac:dyDescent="0.35">
      <c r="A121" s="1177"/>
      <c r="B121" s="291"/>
      <c r="C121" s="291"/>
      <c r="D121" s="291"/>
      <c r="E121" s="327"/>
      <c r="F121" s="328"/>
      <c r="G121" s="327"/>
      <c r="H121" s="291"/>
      <c r="I121" s="291"/>
      <c r="J121" s="291"/>
      <c r="K121" s="291"/>
      <c r="L121" s="291"/>
      <c r="M121" s="291"/>
      <c r="N121" s="291"/>
      <c r="O121" s="291"/>
      <c r="P121" s="291"/>
      <c r="Q121" s="291"/>
      <c r="R121" s="291"/>
      <c r="S121" s="291"/>
      <c r="T121" s="291"/>
      <c r="U121" s="291"/>
      <c r="V121" s="291"/>
      <c r="W121" s="291"/>
      <c r="X121" s="291"/>
      <c r="Y121" s="291"/>
      <c r="Z121" s="291"/>
      <c r="AA121" s="291"/>
    </row>
    <row r="122" spans="1:27" s="309" customFormat="1" x14ac:dyDescent="0.35">
      <c r="A122" s="1177"/>
      <c r="B122" s="291"/>
      <c r="C122" s="291"/>
      <c r="D122" s="291"/>
      <c r="E122" s="327"/>
      <c r="F122" s="328"/>
      <c r="G122" s="327"/>
      <c r="H122" s="291"/>
      <c r="I122" s="291"/>
      <c r="J122" s="291"/>
      <c r="K122" s="291"/>
      <c r="L122" s="291"/>
      <c r="M122" s="291"/>
      <c r="N122" s="291"/>
      <c r="O122" s="291"/>
      <c r="P122" s="291"/>
      <c r="Q122" s="291"/>
      <c r="R122" s="291"/>
      <c r="S122" s="291"/>
      <c r="T122" s="291"/>
      <c r="U122" s="291"/>
      <c r="V122" s="291"/>
      <c r="W122" s="291"/>
      <c r="X122" s="291"/>
      <c r="Y122" s="291"/>
      <c r="Z122" s="291"/>
      <c r="AA122" s="291"/>
    </row>
    <row r="123" spans="1:27" s="309" customFormat="1" x14ac:dyDescent="0.35">
      <c r="A123" s="1177"/>
      <c r="B123" s="291"/>
      <c r="C123" s="291"/>
      <c r="D123" s="291"/>
      <c r="E123" s="327"/>
      <c r="F123" s="328"/>
      <c r="G123" s="327"/>
      <c r="H123" s="291"/>
      <c r="I123" s="291"/>
      <c r="J123" s="291"/>
      <c r="K123" s="291"/>
      <c r="L123" s="291"/>
      <c r="M123" s="291"/>
      <c r="N123" s="291"/>
      <c r="O123" s="291"/>
      <c r="P123" s="291"/>
      <c r="Q123" s="291"/>
      <c r="R123" s="291"/>
      <c r="S123" s="291"/>
      <c r="T123" s="291"/>
      <c r="U123" s="291"/>
      <c r="V123" s="291"/>
      <c r="W123" s="291"/>
      <c r="X123" s="291"/>
      <c r="Y123" s="291"/>
      <c r="Z123" s="291"/>
      <c r="AA123" s="291"/>
    </row>
    <row r="124" spans="1:27" s="309" customFormat="1" x14ac:dyDescent="0.35">
      <c r="A124" s="1177"/>
      <c r="B124" s="291"/>
      <c r="C124" s="291"/>
      <c r="D124" s="291"/>
      <c r="E124" s="327"/>
      <c r="F124" s="328"/>
      <c r="G124" s="327"/>
      <c r="H124" s="291"/>
      <c r="I124" s="291"/>
      <c r="J124" s="291"/>
      <c r="K124" s="291"/>
      <c r="L124" s="291"/>
      <c r="M124" s="291"/>
      <c r="N124" s="291"/>
      <c r="O124" s="291"/>
      <c r="P124" s="291"/>
      <c r="Q124" s="291"/>
      <c r="R124" s="291"/>
      <c r="S124" s="291"/>
      <c r="T124" s="291"/>
      <c r="U124" s="291"/>
      <c r="V124" s="291"/>
      <c r="W124" s="291"/>
      <c r="X124" s="291"/>
      <c r="Y124" s="291"/>
      <c r="Z124" s="291"/>
      <c r="AA124" s="291"/>
    </row>
    <row r="125" spans="1:27" s="309" customFormat="1" x14ac:dyDescent="0.35">
      <c r="A125" s="1177"/>
      <c r="B125" s="291"/>
      <c r="C125" s="291"/>
      <c r="D125" s="291"/>
      <c r="E125" s="327"/>
      <c r="F125" s="328"/>
      <c r="G125" s="327"/>
      <c r="H125" s="291"/>
      <c r="I125" s="291"/>
      <c r="J125" s="291"/>
      <c r="K125" s="291"/>
      <c r="L125" s="291"/>
      <c r="M125" s="291"/>
      <c r="N125" s="291"/>
      <c r="O125" s="291"/>
      <c r="P125" s="291"/>
      <c r="Q125" s="291"/>
      <c r="R125" s="291"/>
      <c r="S125" s="291"/>
      <c r="T125" s="291"/>
      <c r="U125" s="291"/>
      <c r="V125" s="291"/>
      <c r="W125" s="291"/>
      <c r="X125" s="291"/>
      <c r="Y125" s="291"/>
      <c r="Z125" s="291"/>
      <c r="AA125" s="291"/>
    </row>
    <row r="126" spans="1:27" s="309" customFormat="1" x14ac:dyDescent="0.35">
      <c r="A126" s="1177"/>
      <c r="B126" s="291"/>
      <c r="C126" s="291"/>
      <c r="D126" s="291"/>
      <c r="E126" s="327"/>
      <c r="F126" s="328"/>
      <c r="G126" s="327"/>
      <c r="H126" s="291"/>
      <c r="I126" s="291"/>
      <c r="J126" s="291"/>
      <c r="K126" s="291"/>
      <c r="L126" s="291"/>
      <c r="M126" s="291"/>
      <c r="N126" s="291"/>
      <c r="O126" s="291"/>
      <c r="P126" s="291"/>
      <c r="Q126" s="291"/>
      <c r="R126" s="291"/>
      <c r="S126" s="291"/>
      <c r="T126" s="291"/>
      <c r="U126" s="291"/>
      <c r="V126" s="291"/>
      <c r="W126" s="291"/>
      <c r="X126" s="291"/>
      <c r="Y126" s="291"/>
      <c r="Z126" s="291"/>
      <c r="AA126" s="291"/>
    </row>
    <row r="127" spans="1:27" s="309" customFormat="1" x14ac:dyDescent="0.35">
      <c r="A127" s="1177"/>
      <c r="B127" s="291"/>
      <c r="C127" s="291"/>
      <c r="D127" s="291"/>
      <c r="E127" s="327"/>
      <c r="F127" s="328"/>
      <c r="G127" s="327"/>
      <c r="H127" s="291"/>
      <c r="I127" s="291"/>
      <c r="J127" s="291"/>
      <c r="K127" s="291"/>
      <c r="L127" s="291"/>
      <c r="M127" s="291"/>
      <c r="N127" s="291"/>
      <c r="O127" s="291"/>
      <c r="P127" s="291"/>
      <c r="Q127" s="291"/>
      <c r="R127" s="291"/>
      <c r="S127" s="291"/>
      <c r="T127" s="291"/>
      <c r="U127" s="291"/>
      <c r="V127" s="291"/>
      <c r="W127" s="291"/>
      <c r="X127" s="291"/>
      <c r="Y127" s="291"/>
      <c r="Z127" s="291"/>
      <c r="AA127" s="291"/>
    </row>
    <row r="128" spans="1:27" s="309" customFormat="1" x14ac:dyDescent="0.35">
      <c r="A128" s="1177"/>
      <c r="B128" s="291"/>
      <c r="C128" s="291"/>
      <c r="D128" s="291"/>
      <c r="E128" s="327"/>
      <c r="F128" s="328"/>
      <c r="G128" s="327"/>
      <c r="H128" s="291"/>
      <c r="I128" s="291"/>
      <c r="J128" s="291"/>
      <c r="K128" s="291"/>
      <c r="L128" s="291"/>
      <c r="M128" s="291"/>
      <c r="N128" s="291"/>
      <c r="O128" s="291"/>
      <c r="P128" s="291"/>
      <c r="Q128" s="291"/>
      <c r="R128" s="291"/>
      <c r="S128" s="291"/>
      <c r="T128" s="291"/>
      <c r="U128" s="291"/>
      <c r="V128" s="291"/>
      <c r="W128" s="291"/>
      <c r="X128" s="291"/>
      <c r="Y128" s="291"/>
      <c r="Z128" s="291"/>
      <c r="AA128" s="291"/>
    </row>
    <row r="129" spans="1:27" s="309" customFormat="1" x14ac:dyDescent="0.35">
      <c r="A129" s="1177"/>
      <c r="B129" s="291"/>
      <c r="C129" s="291"/>
      <c r="D129" s="291"/>
      <c r="E129" s="327"/>
      <c r="F129" s="328"/>
      <c r="G129" s="327"/>
      <c r="H129" s="291"/>
      <c r="I129" s="291"/>
      <c r="J129" s="291"/>
      <c r="K129" s="291"/>
      <c r="L129" s="291"/>
      <c r="M129" s="291"/>
      <c r="N129" s="291"/>
      <c r="O129" s="291"/>
      <c r="P129" s="291"/>
      <c r="Q129" s="291"/>
      <c r="R129" s="291"/>
      <c r="S129" s="291"/>
      <c r="T129" s="291"/>
      <c r="U129" s="291"/>
      <c r="V129" s="291"/>
      <c r="W129" s="291"/>
      <c r="X129" s="291"/>
      <c r="Y129" s="291"/>
      <c r="Z129" s="291"/>
      <c r="AA129" s="291"/>
    </row>
    <row r="130" spans="1:27" s="309" customFormat="1" x14ac:dyDescent="0.35">
      <c r="A130" s="1177"/>
      <c r="B130" s="291"/>
      <c r="C130" s="291"/>
      <c r="D130" s="291"/>
      <c r="E130" s="327"/>
      <c r="F130" s="328"/>
      <c r="G130" s="327"/>
      <c r="H130" s="291"/>
      <c r="I130" s="291"/>
      <c r="J130" s="291"/>
      <c r="K130" s="291"/>
      <c r="L130" s="291"/>
      <c r="M130" s="291"/>
      <c r="N130" s="291"/>
      <c r="O130" s="291"/>
      <c r="P130" s="291"/>
      <c r="Q130" s="291"/>
      <c r="R130" s="291"/>
      <c r="S130" s="291"/>
      <c r="T130" s="291"/>
      <c r="U130" s="291"/>
      <c r="V130" s="291"/>
      <c r="W130" s="291"/>
      <c r="X130" s="291"/>
      <c r="Y130" s="291"/>
      <c r="Z130" s="291"/>
      <c r="AA130" s="291"/>
    </row>
    <row r="131" spans="1:27" s="309" customFormat="1" x14ac:dyDescent="0.35">
      <c r="A131" s="1177"/>
      <c r="B131" s="291"/>
      <c r="C131" s="291"/>
      <c r="D131" s="291"/>
      <c r="E131" s="327"/>
      <c r="F131" s="328"/>
      <c r="G131" s="327"/>
      <c r="H131" s="291"/>
      <c r="I131" s="291"/>
      <c r="J131" s="291"/>
      <c r="K131" s="291"/>
      <c r="L131" s="291"/>
      <c r="M131" s="291"/>
      <c r="N131" s="291"/>
      <c r="O131" s="291"/>
      <c r="P131" s="291"/>
      <c r="Q131" s="291"/>
      <c r="R131" s="291"/>
      <c r="S131" s="291"/>
      <c r="T131" s="291"/>
      <c r="U131" s="291"/>
      <c r="V131" s="291"/>
      <c r="W131" s="291"/>
      <c r="X131" s="291"/>
      <c r="Y131" s="291"/>
      <c r="Z131" s="291"/>
      <c r="AA131" s="291"/>
    </row>
    <row r="132" spans="1:27" s="309" customFormat="1" x14ac:dyDescent="0.35">
      <c r="A132" s="1177"/>
      <c r="B132" s="291"/>
      <c r="C132" s="291"/>
      <c r="D132" s="291"/>
      <c r="E132" s="327"/>
      <c r="F132" s="328"/>
      <c r="G132" s="327"/>
      <c r="H132" s="291"/>
      <c r="I132" s="291"/>
      <c r="J132" s="291"/>
      <c r="K132" s="291"/>
      <c r="L132" s="291"/>
      <c r="M132" s="291"/>
      <c r="N132" s="291"/>
      <c r="O132" s="291"/>
      <c r="P132" s="291"/>
      <c r="Q132" s="291"/>
      <c r="R132" s="291"/>
      <c r="S132" s="291"/>
      <c r="T132" s="291"/>
      <c r="U132" s="291"/>
      <c r="V132" s="291"/>
      <c r="W132" s="291"/>
      <c r="X132" s="291"/>
      <c r="Y132" s="291"/>
      <c r="Z132" s="291"/>
      <c r="AA132" s="291"/>
    </row>
    <row r="133" spans="1:27" s="309" customFormat="1" x14ac:dyDescent="0.35">
      <c r="A133" s="1177"/>
      <c r="B133" s="291"/>
      <c r="C133" s="291"/>
      <c r="D133" s="291"/>
      <c r="E133" s="327"/>
      <c r="F133" s="328"/>
      <c r="G133" s="327"/>
      <c r="H133" s="291"/>
      <c r="I133" s="291"/>
      <c r="J133" s="291"/>
      <c r="K133" s="291"/>
      <c r="L133" s="291"/>
      <c r="M133" s="291"/>
      <c r="N133" s="291"/>
      <c r="O133" s="291"/>
      <c r="P133" s="291"/>
      <c r="Q133" s="291"/>
      <c r="R133" s="291"/>
      <c r="S133" s="291"/>
      <c r="T133" s="291"/>
      <c r="U133" s="291"/>
      <c r="V133" s="291"/>
      <c r="W133" s="291"/>
      <c r="X133" s="291"/>
      <c r="Y133" s="291"/>
      <c r="Z133" s="291"/>
      <c r="AA133" s="291"/>
    </row>
    <row r="134" spans="1:27" s="309" customFormat="1" x14ac:dyDescent="0.35">
      <c r="A134" s="1177"/>
      <c r="B134" s="291"/>
      <c r="C134" s="291"/>
      <c r="D134" s="291"/>
      <c r="E134" s="327"/>
      <c r="F134" s="328"/>
      <c r="G134" s="327"/>
      <c r="H134" s="291"/>
      <c r="I134" s="291"/>
      <c r="J134" s="291"/>
      <c r="K134" s="291"/>
      <c r="L134" s="291"/>
      <c r="M134" s="291"/>
      <c r="N134" s="291"/>
      <c r="O134" s="291"/>
      <c r="P134" s="291"/>
      <c r="Q134" s="291"/>
      <c r="R134" s="291"/>
      <c r="S134" s="291"/>
      <c r="T134" s="291"/>
      <c r="U134" s="291"/>
      <c r="V134" s="291"/>
      <c r="W134" s="291"/>
      <c r="X134" s="291"/>
      <c r="Y134" s="291"/>
      <c r="Z134" s="291"/>
      <c r="AA134" s="291"/>
    </row>
    <row r="135" spans="1:27" s="309" customFormat="1" x14ac:dyDescent="0.35">
      <c r="A135" s="1177"/>
      <c r="B135" s="291"/>
      <c r="C135" s="291"/>
      <c r="D135" s="291"/>
      <c r="E135" s="327"/>
      <c r="F135" s="328"/>
      <c r="G135" s="327"/>
      <c r="H135" s="291"/>
      <c r="I135" s="291"/>
      <c r="J135" s="291"/>
      <c r="K135" s="291"/>
      <c r="L135" s="291"/>
      <c r="M135" s="291"/>
      <c r="N135" s="291"/>
      <c r="O135" s="291"/>
      <c r="P135" s="291"/>
      <c r="Q135" s="291"/>
      <c r="R135" s="291"/>
      <c r="S135" s="291"/>
      <c r="T135" s="291"/>
      <c r="U135" s="291"/>
      <c r="V135" s="291"/>
      <c r="W135" s="291"/>
      <c r="X135" s="291"/>
      <c r="Y135" s="291"/>
      <c r="Z135" s="291"/>
      <c r="AA135" s="291"/>
    </row>
    <row r="136" spans="1:27" s="309" customFormat="1" x14ac:dyDescent="0.35">
      <c r="A136" s="1177"/>
      <c r="B136" s="291"/>
      <c r="C136" s="291"/>
      <c r="D136" s="291"/>
      <c r="E136" s="327"/>
      <c r="F136" s="328"/>
      <c r="G136" s="327"/>
      <c r="H136" s="291"/>
      <c r="I136" s="291"/>
      <c r="J136" s="291"/>
      <c r="K136" s="291"/>
      <c r="L136" s="291"/>
      <c r="M136" s="291"/>
      <c r="N136" s="291"/>
      <c r="O136" s="291"/>
      <c r="P136" s="291"/>
      <c r="Q136" s="291"/>
      <c r="R136" s="291"/>
      <c r="S136" s="291"/>
      <c r="T136" s="291"/>
      <c r="U136" s="291"/>
      <c r="V136" s="291"/>
      <c r="W136" s="291"/>
      <c r="X136" s="291"/>
      <c r="Y136" s="291"/>
      <c r="Z136" s="291"/>
      <c r="AA136" s="291"/>
    </row>
    <row r="137" spans="1:27" s="309" customFormat="1" x14ac:dyDescent="0.35">
      <c r="A137" s="1177"/>
      <c r="B137" s="291"/>
      <c r="C137" s="291"/>
      <c r="D137" s="291"/>
      <c r="E137" s="327"/>
      <c r="F137" s="328"/>
      <c r="G137" s="327"/>
      <c r="H137" s="291"/>
      <c r="I137" s="291"/>
      <c r="J137" s="291"/>
      <c r="K137" s="291"/>
      <c r="L137" s="291"/>
      <c r="M137" s="291"/>
      <c r="N137" s="291"/>
      <c r="O137" s="291"/>
      <c r="P137" s="291"/>
      <c r="Q137" s="291"/>
      <c r="R137" s="291"/>
      <c r="S137" s="291"/>
      <c r="T137" s="291"/>
      <c r="U137" s="291"/>
      <c r="V137" s="291"/>
      <c r="W137" s="291"/>
      <c r="X137" s="291"/>
      <c r="Y137" s="291"/>
      <c r="Z137" s="291"/>
      <c r="AA137" s="291"/>
    </row>
    <row r="138" spans="1:27" s="309" customFormat="1" x14ac:dyDescent="0.35">
      <c r="A138" s="1177"/>
      <c r="B138" s="291"/>
      <c r="C138" s="291"/>
      <c r="D138" s="291"/>
      <c r="E138" s="327"/>
      <c r="F138" s="328"/>
      <c r="G138" s="327"/>
      <c r="H138" s="291"/>
      <c r="I138" s="291"/>
      <c r="J138" s="291"/>
      <c r="K138" s="291"/>
      <c r="L138" s="291"/>
      <c r="M138" s="291"/>
      <c r="N138" s="291"/>
      <c r="O138" s="291"/>
      <c r="P138" s="291"/>
      <c r="Q138" s="291"/>
      <c r="R138" s="291"/>
      <c r="S138" s="291"/>
      <c r="T138" s="291"/>
      <c r="U138" s="291"/>
      <c r="V138" s="291"/>
      <c r="W138" s="291"/>
      <c r="X138" s="291"/>
      <c r="Y138" s="291"/>
      <c r="Z138" s="291"/>
      <c r="AA138" s="291"/>
    </row>
    <row r="139" spans="1:27" s="309" customFormat="1" x14ac:dyDescent="0.35">
      <c r="A139" s="1177"/>
      <c r="B139" s="291"/>
      <c r="C139" s="291"/>
      <c r="D139" s="291"/>
      <c r="E139" s="327"/>
      <c r="F139" s="328"/>
      <c r="G139" s="327"/>
      <c r="H139" s="291"/>
      <c r="I139" s="291"/>
      <c r="J139" s="291"/>
      <c r="K139" s="291"/>
      <c r="L139" s="291"/>
      <c r="M139" s="291"/>
      <c r="N139" s="291"/>
      <c r="O139" s="291"/>
      <c r="P139" s="291"/>
      <c r="Q139" s="291"/>
      <c r="R139" s="291"/>
      <c r="S139" s="291"/>
      <c r="T139" s="291"/>
      <c r="U139" s="291"/>
      <c r="V139" s="291"/>
      <c r="W139" s="291"/>
      <c r="X139" s="291"/>
      <c r="Y139" s="291"/>
      <c r="Z139" s="291"/>
      <c r="AA139" s="291"/>
    </row>
    <row r="140" spans="1:27" s="309" customFormat="1" x14ac:dyDescent="0.35">
      <c r="A140" s="1177"/>
      <c r="B140" s="291"/>
      <c r="C140" s="291"/>
      <c r="D140" s="291"/>
      <c r="E140" s="327"/>
      <c r="F140" s="328"/>
      <c r="G140" s="327"/>
      <c r="H140" s="291"/>
      <c r="I140" s="291"/>
      <c r="J140" s="291"/>
      <c r="K140" s="291"/>
      <c r="L140" s="291"/>
      <c r="M140" s="291"/>
      <c r="N140" s="291"/>
      <c r="O140" s="291"/>
      <c r="P140" s="291"/>
      <c r="Q140" s="291"/>
      <c r="R140" s="291"/>
      <c r="S140" s="291"/>
      <c r="T140" s="291"/>
      <c r="U140" s="291"/>
      <c r="V140" s="291"/>
      <c r="W140" s="291"/>
      <c r="X140" s="291"/>
      <c r="Y140" s="291"/>
      <c r="Z140" s="291"/>
      <c r="AA140" s="291"/>
    </row>
    <row r="141" spans="1:27" s="309" customFormat="1" x14ac:dyDescent="0.35">
      <c r="A141" s="1177"/>
      <c r="B141" s="291"/>
      <c r="C141" s="291"/>
      <c r="D141" s="291"/>
      <c r="E141" s="327"/>
      <c r="F141" s="328"/>
      <c r="G141" s="327"/>
      <c r="H141" s="291"/>
      <c r="I141" s="291"/>
      <c r="J141" s="291"/>
      <c r="K141" s="291"/>
      <c r="L141" s="291"/>
      <c r="M141" s="291"/>
      <c r="N141" s="291"/>
      <c r="O141" s="291"/>
      <c r="P141" s="291"/>
      <c r="Q141" s="291"/>
      <c r="R141" s="291"/>
      <c r="S141" s="291"/>
      <c r="T141" s="291"/>
      <c r="U141" s="291"/>
      <c r="V141" s="291"/>
      <c r="W141" s="291"/>
      <c r="X141" s="291"/>
      <c r="Y141" s="291"/>
      <c r="Z141" s="291"/>
      <c r="AA141" s="291"/>
    </row>
    <row r="142" spans="1:27" s="309" customFormat="1" x14ac:dyDescent="0.35">
      <c r="A142" s="1177"/>
      <c r="B142" s="291"/>
      <c r="C142" s="291"/>
      <c r="D142" s="291"/>
      <c r="E142" s="327"/>
      <c r="F142" s="328"/>
      <c r="G142" s="327"/>
      <c r="H142" s="291"/>
      <c r="I142" s="291"/>
      <c r="J142" s="291"/>
      <c r="K142" s="291"/>
      <c r="L142" s="291"/>
      <c r="M142" s="291"/>
      <c r="N142" s="291"/>
      <c r="O142" s="291"/>
      <c r="P142" s="291"/>
      <c r="Q142" s="291"/>
      <c r="R142" s="291"/>
      <c r="S142" s="291"/>
      <c r="T142" s="291"/>
      <c r="U142" s="291"/>
      <c r="V142" s="291"/>
      <c r="W142" s="291"/>
      <c r="X142" s="291"/>
      <c r="Y142" s="291"/>
      <c r="Z142" s="291"/>
      <c r="AA142" s="291"/>
    </row>
    <row r="143" spans="1:27" s="309" customFormat="1" x14ac:dyDescent="0.35">
      <c r="A143" s="1177"/>
      <c r="B143" s="291"/>
      <c r="C143" s="291"/>
      <c r="D143" s="291"/>
      <c r="E143" s="327"/>
      <c r="F143" s="328"/>
      <c r="G143" s="327"/>
      <c r="H143" s="291"/>
      <c r="I143" s="291"/>
      <c r="J143" s="291"/>
      <c r="K143" s="291"/>
      <c r="L143" s="291"/>
      <c r="M143" s="291"/>
      <c r="N143" s="291"/>
      <c r="O143" s="291"/>
      <c r="P143" s="291"/>
      <c r="Q143" s="291"/>
      <c r="R143" s="291"/>
      <c r="S143" s="291"/>
      <c r="T143" s="291"/>
      <c r="U143" s="291"/>
      <c r="V143" s="291"/>
      <c r="W143" s="291"/>
      <c r="X143" s="291"/>
      <c r="Y143" s="291"/>
      <c r="Z143" s="291"/>
      <c r="AA143" s="291"/>
    </row>
    <row r="144" spans="1:27" s="309" customFormat="1" x14ac:dyDescent="0.35">
      <c r="A144" s="1177"/>
      <c r="B144" s="291"/>
      <c r="C144" s="291"/>
      <c r="D144" s="291"/>
      <c r="E144" s="327"/>
      <c r="F144" s="328"/>
      <c r="G144" s="327"/>
      <c r="H144" s="291"/>
      <c r="I144" s="291"/>
      <c r="J144" s="291"/>
      <c r="K144" s="291"/>
      <c r="L144" s="291"/>
      <c r="M144" s="291"/>
      <c r="N144" s="291"/>
      <c r="O144" s="291"/>
      <c r="P144" s="291"/>
      <c r="Q144" s="291"/>
      <c r="R144" s="291"/>
      <c r="S144" s="291"/>
      <c r="T144" s="291"/>
      <c r="U144" s="291"/>
      <c r="V144" s="291"/>
      <c r="W144" s="291"/>
      <c r="X144" s="291"/>
      <c r="Y144" s="291"/>
      <c r="Z144" s="291"/>
      <c r="AA144" s="291"/>
    </row>
    <row r="145" spans="1:27" s="309" customFormat="1" x14ac:dyDescent="0.35">
      <c r="A145" s="1177"/>
      <c r="B145" s="291"/>
      <c r="C145" s="291"/>
      <c r="D145" s="291"/>
      <c r="E145" s="327"/>
      <c r="F145" s="328"/>
      <c r="G145" s="327"/>
      <c r="H145" s="291"/>
      <c r="I145" s="291"/>
      <c r="J145" s="291"/>
      <c r="K145" s="291"/>
      <c r="L145" s="291"/>
      <c r="M145" s="291"/>
      <c r="N145" s="291"/>
      <c r="O145" s="291"/>
      <c r="P145" s="291"/>
      <c r="Q145" s="291"/>
      <c r="R145" s="291"/>
      <c r="S145" s="291"/>
      <c r="T145" s="291"/>
      <c r="U145" s="291"/>
      <c r="V145" s="291"/>
      <c r="W145" s="291"/>
      <c r="X145" s="291"/>
      <c r="Y145" s="291"/>
      <c r="Z145" s="291"/>
      <c r="AA145" s="291"/>
    </row>
    <row r="146" spans="1:27" s="309" customFormat="1" x14ac:dyDescent="0.35">
      <c r="A146" s="1177"/>
      <c r="B146" s="291"/>
      <c r="C146" s="291"/>
      <c r="D146" s="291"/>
      <c r="E146" s="327"/>
      <c r="F146" s="328"/>
      <c r="G146" s="327"/>
      <c r="H146" s="291"/>
      <c r="I146" s="291"/>
      <c r="J146" s="291"/>
      <c r="K146" s="291"/>
      <c r="L146" s="291"/>
      <c r="M146" s="291"/>
      <c r="N146" s="291"/>
      <c r="O146" s="291"/>
      <c r="P146" s="291"/>
      <c r="Q146" s="291"/>
      <c r="R146" s="291"/>
      <c r="S146" s="291"/>
      <c r="T146" s="291"/>
      <c r="U146" s="291"/>
      <c r="V146" s="291"/>
      <c r="W146" s="291"/>
      <c r="X146" s="291"/>
      <c r="Y146" s="291"/>
      <c r="Z146" s="291"/>
      <c r="AA146" s="291"/>
    </row>
    <row r="147" spans="1:27" s="309" customFormat="1" x14ac:dyDescent="0.35">
      <c r="A147" s="1177"/>
      <c r="B147" s="291"/>
      <c r="C147" s="291"/>
      <c r="D147" s="291"/>
      <c r="E147" s="327"/>
      <c r="F147" s="328"/>
      <c r="G147" s="327"/>
      <c r="H147" s="291"/>
      <c r="I147" s="291"/>
      <c r="J147" s="291"/>
      <c r="K147" s="291"/>
      <c r="L147" s="291"/>
      <c r="M147" s="291"/>
      <c r="N147" s="291"/>
      <c r="O147" s="291"/>
      <c r="P147" s="291"/>
      <c r="Q147" s="291"/>
      <c r="R147" s="291"/>
      <c r="S147" s="291"/>
      <c r="T147" s="291"/>
      <c r="U147" s="291"/>
      <c r="V147" s="291"/>
      <c r="W147" s="291"/>
      <c r="X147" s="291"/>
      <c r="Y147" s="291"/>
      <c r="Z147" s="291"/>
      <c r="AA147" s="291"/>
    </row>
    <row r="148" spans="1:27" s="309" customFormat="1" x14ac:dyDescent="0.35">
      <c r="A148" s="1177"/>
      <c r="B148" s="291"/>
      <c r="C148" s="291"/>
      <c r="D148" s="291"/>
      <c r="E148" s="327"/>
      <c r="F148" s="328"/>
      <c r="G148" s="327"/>
      <c r="H148" s="291"/>
      <c r="I148" s="291"/>
      <c r="J148" s="291"/>
      <c r="K148" s="291"/>
      <c r="L148" s="291"/>
      <c r="M148" s="291"/>
      <c r="N148" s="291"/>
      <c r="O148" s="291"/>
      <c r="P148" s="291"/>
      <c r="Q148" s="291"/>
      <c r="R148" s="291"/>
      <c r="S148" s="291"/>
      <c r="T148" s="291"/>
      <c r="U148" s="291"/>
      <c r="V148" s="291"/>
      <c r="W148" s="291"/>
      <c r="X148" s="291"/>
      <c r="Y148" s="291"/>
      <c r="Z148" s="291"/>
      <c r="AA148" s="291"/>
    </row>
    <row r="149" spans="1:27" s="309" customFormat="1" x14ac:dyDescent="0.35">
      <c r="A149" s="1177"/>
      <c r="B149" s="291"/>
      <c r="C149" s="291"/>
      <c r="D149" s="291"/>
      <c r="E149" s="327"/>
      <c r="F149" s="328"/>
      <c r="G149" s="327"/>
      <c r="H149" s="291"/>
      <c r="I149" s="291"/>
      <c r="J149" s="291"/>
      <c r="K149" s="291"/>
      <c r="L149" s="291"/>
      <c r="M149" s="291"/>
      <c r="N149" s="291"/>
      <c r="O149" s="291"/>
      <c r="P149" s="291"/>
      <c r="Q149" s="291"/>
      <c r="R149" s="291"/>
      <c r="S149" s="291"/>
      <c r="T149" s="291"/>
      <c r="U149" s="291"/>
      <c r="V149" s="291"/>
      <c r="W149" s="291"/>
      <c r="X149" s="291"/>
      <c r="Y149" s="291"/>
      <c r="Z149" s="291"/>
      <c r="AA149" s="291"/>
    </row>
    <row r="150" spans="1:27" s="309" customFormat="1" x14ac:dyDescent="0.35">
      <c r="A150" s="1177"/>
      <c r="B150" s="291"/>
      <c r="C150" s="291"/>
      <c r="D150" s="291"/>
      <c r="E150" s="327"/>
      <c r="F150" s="328"/>
      <c r="G150" s="327"/>
      <c r="H150" s="291"/>
      <c r="I150" s="291"/>
      <c r="J150" s="291"/>
      <c r="K150" s="291"/>
      <c r="L150" s="291"/>
      <c r="M150" s="291"/>
      <c r="N150" s="291"/>
      <c r="O150" s="291"/>
      <c r="P150" s="291"/>
      <c r="Q150" s="291"/>
      <c r="R150" s="291"/>
      <c r="S150" s="291"/>
      <c r="T150" s="291"/>
      <c r="U150" s="291"/>
      <c r="V150" s="291"/>
      <c r="W150" s="291"/>
      <c r="X150" s="291"/>
      <c r="Y150" s="291"/>
      <c r="Z150" s="291"/>
      <c r="AA150" s="291"/>
    </row>
    <row r="151" spans="1:27" s="309" customFormat="1" x14ac:dyDescent="0.35">
      <c r="A151" s="1177"/>
      <c r="B151" s="291"/>
      <c r="C151" s="291"/>
      <c r="D151" s="291"/>
      <c r="E151" s="327"/>
      <c r="F151" s="328"/>
      <c r="G151" s="327"/>
      <c r="H151" s="291"/>
      <c r="I151" s="291"/>
      <c r="J151" s="291"/>
      <c r="K151" s="291"/>
      <c r="L151" s="291"/>
      <c r="M151" s="291"/>
      <c r="N151" s="291"/>
      <c r="O151" s="291"/>
      <c r="P151" s="291"/>
      <c r="Q151" s="291"/>
      <c r="R151" s="291"/>
      <c r="S151" s="291"/>
      <c r="T151" s="291"/>
      <c r="U151" s="291"/>
      <c r="V151" s="291"/>
      <c r="W151" s="291"/>
      <c r="X151" s="291"/>
      <c r="Y151" s="291"/>
      <c r="Z151" s="291"/>
      <c r="AA151" s="291"/>
    </row>
    <row r="152" spans="1:27" s="309" customFormat="1" x14ac:dyDescent="0.35">
      <c r="A152" s="1177"/>
      <c r="B152" s="291"/>
      <c r="C152" s="291"/>
      <c r="D152" s="291"/>
      <c r="E152" s="327"/>
      <c r="F152" s="328"/>
      <c r="G152" s="327"/>
      <c r="H152" s="291"/>
      <c r="I152" s="291"/>
      <c r="J152" s="291"/>
      <c r="K152" s="291"/>
      <c r="L152" s="291"/>
      <c r="M152" s="291"/>
      <c r="N152" s="291"/>
      <c r="O152" s="291"/>
      <c r="P152" s="291"/>
      <c r="Q152" s="291"/>
      <c r="R152" s="291"/>
      <c r="S152" s="291"/>
      <c r="T152" s="291"/>
      <c r="U152" s="291"/>
      <c r="V152" s="291"/>
      <c r="W152" s="291"/>
      <c r="X152" s="291"/>
      <c r="Y152" s="291"/>
      <c r="Z152" s="291"/>
      <c r="AA152" s="291"/>
    </row>
    <row r="153" spans="1:27" s="309" customFormat="1" x14ac:dyDescent="0.35">
      <c r="A153" s="1177"/>
      <c r="B153" s="291"/>
      <c r="C153" s="291"/>
      <c r="D153" s="291"/>
      <c r="E153" s="327"/>
      <c r="F153" s="328"/>
      <c r="G153" s="327"/>
      <c r="H153" s="291"/>
      <c r="I153" s="291"/>
      <c r="J153" s="291"/>
      <c r="K153" s="291"/>
      <c r="L153" s="291"/>
      <c r="M153" s="291"/>
      <c r="N153" s="291"/>
      <c r="O153" s="291"/>
      <c r="P153" s="291"/>
      <c r="Q153" s="291"/>
      <c r="R153" s="291"/>
      <c r="S153" s="291"/>
      <c r="T153" s="291"/>
      <c r="U153" s="291"/>
      <c r="V153" s="291"/>
      <c r="W153" s="291"/>
      <c r="X153" s="291"/>
      <c r="Y153" s="291"/>
      <c r="Z153" s="291"/>
      <c r="AA153" s="291"/>
    </row>
    <row r="154" spans="1:27" s="309" customFormat="1" x14ac:dyDescent="0.35">
      <c r="A154" s="1177"/>
      <c r="B154" s="291"/>
      <c r="C154" s="291"/>
      <c r="D154" s="291"/>
      <c r="E154" s="327"/>
      <c r="F154" s="328"/>
      <c r="G154" s="327"/>
      <c r="H154" s="291"/>
      <c r="I154" s="291"/>
      <c r="J154" s="291"/>
      <c r="K154" s="291"/>
      <c r="L154" s="291"/>
      <c r="M154" s="291"/>
      <c r="N154" s="291"/>
      <c r="O154" s="291"/>
      <c r="P154" s="291"/>
      <c r="Q154" s="291"/>
      <c r="R154" s="291"/>
      <c r="S154" s="291"/>
      <c r="T154" s="291"/>
      <c r="U154" s="291"/>
      <c r="V154" s="291"/>
      <c r="W154" s="291"/>
      <c r="X154" s="291"/>
      <c r="Y154" s="291"/>
      <c r="Z154" s="291"/>
      <c r="AA154" s="291"/>
    </row>
    <row r="155" spans="1:27" s="309" customFormat="1" x14ac:dyDescent="0.35">
      <c r="A155" s="1177"/>
      <c r="B155" s="291"/>
      <c r="C155" s="291"/>
      <c r="D155" s="291"/>
      <c r="E155" s="327"/>
      <c r="F155" s="328"/>
      <c r="G155" s="327"/>
      <c r="H155" s="291"/>
      <c r="I155" s="291"/>
      <c r="J155" s="291"/>
      <c r="K155" s="291"/>
      <c r="L155" s="291"/>
      <c r="M155" s="291"/>
      <c r="N155" s="291"/>
      <c r="O155" s="291"/>
      <c r="P155" s="291"/>
      <c r="Q155" s="291"/>
      <c r="R155" s="291"/>
      <c r="S155" s="291"/>
      <c r="T155" s="291"/>
      <c r="U155" s="291"/>
      <c r="V155" s="291"/>
      <c r="W155" s="291"/>
      <c r="X155" s="291"/>
      <c r="Y155" s="291"/>
      <c r="Z155" s="291"/>
      <c r="AA155" s="291"/>
    </row>
    <row r="156" spans="1:27" s="309" customFormat="1" x14ac:dyDescent="0.35">
      <c r="A156" s="1177"/>
      <c r="B156" s="291"/>
      <c r="C156" s="291"/>
      <c r="D156" s="291"/>
      <c r="E156" s="327"/>
      <c r="F156" s="328"/>
      <c r="G156" s="327"/>
      <c r="H156" s="291"/>
      <c r="I156" s="291"/>
      <c r="J156" s="291"/>
      <c r="K156" s="291"/>
      <c r="L156" s="291"/>
      <c r="M156" s="291"/>
      <c r="N156" s="291"/>
      <c r="O156" s="291"/>
      <c r="P156" s="291"/>
      <c r="Q156" s="291"/>
      <c r="R156" s="291"/>
      <c r="S156" s="291"/>
      <c r="T156" s="291"/>
      <c r="U156" s="291"/>
      <c r="V156" s="291"/>
      <c r="W156" s="291"/>
      <c r="X156" s="291"/>
      <c r="Y156" s="291"/>
      <c r="Z156" s="291"/>
      <c r="AA156" s="291"/>
    </row>
    <row r="157" spans="1:27" s="309" customFormat="1" x14ac:dyDescent="0.35">
      <c r="A157" s="1177"/>
      <c r="B157" s="291"/>
      <c r="C157" s="291"/>
      <c r="D157" s="291"/>
      <c r="E157" s="327"/>
      <c r="F157" s="328"/>
      <c r="G157" s="327"/>
      <c r="H157" s="291"/>
      <c r="I157" s="291"/>
      <c r="J157" s="291"/>
      <c r="K157" s="291"/>
      <c r="L157" s="291"/>
      <c r="M157" s="291"/>
      <c r="N157" s="291"/>
      <c r="O157" s="291"/>
      <c r="P157" s="291"/>
      <c r="Q157" s="291"/>
      <c r="R157" s="291"/>
      <c r="S157" s="291"/>
      <c r="T157" s="291"/>
      <c r="U157" s="291"/>
      <c r="V157" s="291"/>
      <c r="W157" s="291"/>
      <c r="X157" s="291"/>
      <c r="Y157" s="291"/>
      <c r="Z157" s="291"/>
      <c r="AA157" s="291"/>
    </row>
    <row r="158" spans="1:27" s="309" customFormat="1" x14ac:dyDescent="0.35">
      <c r="A158" s="1177"/>
      <c r="B158" s="291"/>
      <c r="C158" s="291"/>
      <c r="D158" s="291"/>
      <c r="E158" s="327"/>
      <c r="F158" s="328"/>
      <c r="G158" s="327"/>
      <c r="H158" s="291"/>
      <c r="I158" s="291"/>
      <c r="J158" s="291"/>
      <c r="K158" s="291"/>
      <c r="L158" s="291"/>
      <c r="M158" s="291"/>
      <c r="N158" s="291"/>
      <c r="O158" s="291"/>
      <c r="P158" s="291"/>
      <c r="Q158" s="291"/>
      <c r="R158" s="291"/>
      <c r="S158" s="291"/>
      <c r="T158" s="291"/>
      <c r="U158" s="291"/>
      <c r="V158" s="291"/>
      <c r="W158" s="291"/>
      <c r="X158" s="291"/>
      <c r="Y158" s="291"/>
      <c r="Z158" s="291"/>
      <c r="AA158" s="291"/>
    </row>
    <row r="159" spans="1:27" s="309" customFormat="1" x14ac:dyDescent="0.35">
      <c r="A159" s="1177"/>
      <c r="B159" s="291"/>
      <c r="C159" s="291"/>
      <c r="D159" s="291"/>
      <c r="E159" s="327"/>
      <c r="F159" s="328"/>
      <c r="G159" s="327"/>
      <c r="H159" s="291"/>
      <c r="I159" s="291"/>
      <c r="J159" s="291"/>
      <c r="K159" s="291"/>
      <c r="L159" s="291"/>
      <c r="M159" s="291"/>
      <c r="N159" s="291"/>
      <c r="O159" s="291"/>
      <c r="P159" s="291"/>
      <c r="Q159" s="291"/>
      <c r="R159" s="291"/>
      <c r="S159" s="291"/>
      <c r="T159" s="291"/>
      <c r="U159" s="291"/>
      <c r="V159" s="291"/>
      <c r="W159" s="291"/>
      <c r="X159" s="291"/>
      <c r="Y159" s="291"/>
      <c r="Z159" s="291"/>
      <c r="AA159" s="291"/>
    </row>
    <row r="160" spans="1:27" s="309" customFormat="1" x14ac:dyDescent="0.35">
      <c r="A160" s="1177"/>
      <c r="B160" s="291"/>
      <c r="C160" s="291"/>
      <c r="D160" s="291"/>
      <c r="E160" s="327"/>
      <c r="F160" s="328"/>
      <c r="G160" s="327"/>
      <c r="H160" s="291"/>
      <c r="I160" s="291"/>
      <c r="J160" s="291"/>
      <c r="K160" s="291"/>
      <c r="L160" s="291"/>
      <c r="M160" s="291"/>
      <c r="N160" s="291"/>
      <c r="O160" s="291"/>
      <c r="P160" s="291"/>
      <c r="Q160" s="291"/>
      <c r="R160" s="291"/>
      <c r="S160" s="291"/>
      <c r="T160" s="291"/>
      <c r="U160" s="291"/>
      <c r="V160" s="291"/>
      <c r="W160" s="291"/>
      <c r="X160" s="291"/>
      <c r="Y160" s="291"/>
      <c r="Z160" s="291"/>
      <c r="AA160" s="291"/>
    </row>
    <row r="161" spans="1:27" s="309" customFormat="1" x14ac:dyDescent="0.35">
      <c r="A161" s="1177"/>
      <c r="B161" s="291"/>
      <c r="C161" s="291"/>
      <c r="D161" s="291"/>
      <c r="E161" s="327"/>
      <c r="F161" s="328"/>
      <c r="G161" s="327"/>
      <c r="H161" s="291"/>
      <c r="I161" s="291"/>
      <c r="J161" s="291"/>
      <c r="K161" s="291"/>
      <c r="L161" s="291"/>
      <c r="M161" s="291"/>
      <c r="N161" s="291"/>
      <c r="O161" s="291"/>
      <c r="P161" s="291"/>
      <c r="Q161" s="291"/>
      <c r="R161" s="291"/>
      <c r="S161" s="291"/>
      <c r="T161" s="291"/>
      <c r="U161" s="291"/>
      <c r="V161" s="291"/>
      <c r="W161" s="291"/>
      <c r="X161" s="291"/>
      <c r="Y161" s="291"/>
      <c r="Z161" s="291"/>
      <c r="AA161" s="291"/>
    </row>
    <row r="162" spans="1:27" s="309" customFormat="1" x14ac:dyDescent="0.35">
      <c r="A162" s="1177"/>
      <c r="B162" s="291"/>
      <c r="C162" s="291"/>
      <c r="D162" s="291"/>
      <c r="E162" s="327"/>
      <c r="F162" s="328"/>
      <c r="G162" s="327"/>
      <c r="H162" s="291"/>
      <c r="I162" s="291"/>
      <c r="J162" s="291"/>
      <c r="K162" s="291"/>
      <c r="L162" s="291"/>
      <c r="M162" s="291"/>
      <c r="N162" s="291"/>
      <c r="O162" s="291"/>
      <c r="P162" s="291"/>
      <c r="Q162" s="291"/>
      <c r="R162" s="291"/>
      <c r="S162" s="291"/>
      <c r="T162" s="291"/>
      <c r="U162" s="291"/>
      <c r="V162" s="291"/>
      <c r="W162" s="291"/>
      <c r="X162" s="291"/>
      <c r="Y162" s="291"/>
      <c r="Z162" s="291"/>
      <c r="AA162" s="291"/>
    </row>
    <row r="163" spans="1:27" s="309" customFormat="1" x14ac:dyDescent="0.35">
      <c r="A163" s="1177"/>
      <c r="B163" s="291"/>
      <c r="C163" s="291"/>
      <c r="D163" s="291"/>
      <c r="E163" s="327"/>
      <c r="F163" s="328"/>
      <c r="G163" s="327"/>
      <c r="H163" s="291"/>
      <c r="I163" s="291"/>
      <c r="J163" s="291"/>
      <c r="K163" s="291"/>
      <c r="L163" s="291"/>
      <c r="M163" s="291"/>
      <c r="N163" s="291"/>
      <c r="O163" s="291"/>
      <c r="P163" s="291"/>
      <c r="Q163" s="291"/>
      <c r="R163" s="291"/>
      <c r="S163" s="291"/>
      <c r="T163" s="291"/>
      <c r="U163" s="291"/>
      <c r="V163" s="291"/>
      <c r="W163" s="291"/>
      <c r="X163" s="291"/>
      <c r="Y163" s="291"/>
      <c r="Z163" s="291"/>
      <c r="AA163" s="291"/>
    </row>
    <row r="164" spans="1:27" s="309" customFormat="1" x14ac:dyDescent="0.35">
      <c r="A164" s="1177"/>
      <c r="B164" s="291"/>
      <c r="C164" s="291"/>
      <c r="D164" s="291"/>
      <c r="E164" s="327"/>
      <c r="F164" s="328"/>
      <c r="G164" s="327"/>
      <c r="H164" s="291"/>
      <c r="I164" s="291"/>
      <c r="J164" s="291"/>
      <c r="K164" s="291"/>
      <c r="L164" s="291"/>
      <c r="M164" s="291"/>
      <c r="N164" s="291"/>
      <c r="O164" s="291"/>
      <c r="P164" s="291"/>
      <c r="Q164" s="291"/>
      <c r="R164" s="291"/>
      <c r="S164" s="291"/>
      <c r="T164" s="291"/>
      <c r="U164" s="291"/>
      <c r="V164" s="291"/>
      <c r="W164" s="291"/>
      <c r="X164" s="291"/>
      <c r="Y164" s="291"/>
      <c r="Z164" s="291"/>
      <c r="AA164" s="291"/>
    </row>
    <row r="165" spans="1:27" s="309" customFormat="1" x14ac:dyDescent="0.35">
      <c r="A165" s="1177"/>
      <c r="B165" s="291"/>
      <c r="C165" s="291"/>
      <c r="D165" s="291"/>
      <c r="E165" s="327"/>
      <c r="F165" s="328"/>
      <c r="G165" s="327"/>
      <c r="H165" s="291"/>
      <c r="I165" s="291"/>
      <c r="J165" s="291"/>
      <c r="K165" s="291"/>
      <c r="L165" s="291"/>
      <c r="M165" s="291"/>
      <c r="N165" s="291"/>
      <c r="O165" s="291"/>
      <c r="P165" s="291"/>
      <c r="Q165" s="291"/>
      <c r="R165" s="291"/>
      <c r="S165" s="291"/>
      <c r="T165" s="291"/>
      <c r="U165" s="291"/>
      <c r="V165" s="291"/>
      <c r="W165" s="291"/>
      <c r="X165" s="291"/>
      <c r="Y165" s="291"/>
      <c r="Z165" s="291"/>
      <c r="AA165" s="291"/>
    </row>
    <row r="166" spans="1:27" s="309" customFormat="1" x14ac:dyDescent="0.35">
      <c r="A166" s="1177"/>
      <c r="B166" s="291"/>
      <c r="C166" s="291"/>
      <c r="D166" s="291"/>
      <c r="E166" s="327"/>
      <c r="F166" s="328"/>
      <c r="G166" s="327"/>
      <c r="H166" s="291"/>
      <c r="I166" s="291"/>
      <c r="J166" s="291"/>
      <c r="K166" s="291"/>
      <c r="L166" s="291"/>
      <c r="M166" s="291"/>
      <c r="N166" s="291"/>
      <c r="O166" s="291"/>
      <c r="P166" s="291"/>
      <c r="Q166" s="291"/>
      <c r="R166" s="291"/>
      <c r="S166" s="291"/>
      <c r="T166" s="291"/>
      <c r="U166" s="291"/>
      <c r="V166" s="291"/>
      <c r="W166" s="291"/>
      <c r="X166" s="291"/>
      <c r="Y166" s="291"/>
      <c r="Z166" s="291"/>
      <c r="AA166" s="291"/>
    </row>
    <row r="167" spans="1:27" x14ac:dyDescent="0.35">
      <c r="E167" s="327"/>
      <c r="G167" s="327"/>
      <c r="H167" s="291"/>
    </row>
    <row r="168" spans="1:27" x14ac:dyDescent="0.35">
      <c r="E168" s="327"/>
      <c r="G168" s="327"/>
      <c r="H168" s="291"/>
    </row>
    <row r="169" spans="1:27" x14ac:dyDescent="0.35">
      <c r="E169" s="327"/>
      <c r="G169" s="327"/>
      <c r="H169" s="291"/>
    </row>
    <row r="170" spans="1:27" x14ac:dyDescent="0.35">
      <c r="E170" s="327"/>
      <c r="G170" s="327"/>
      <c r="H170" s="291"/>
    </row>
    <row r="171" spans="1:27" x14ac:dyDescent="0.35">
      <c r="E171" s="327"/>
      <c r="G171" s="327"/>
      <c r="H171" s="291"/>
    </row>
    <row r="172" spans="1:27" x14ac:dyDescent="0.35">
      <c r="E172" s="327"/>
      <c r="G172" s="327"/>
      <c r="H172" s="291"/>
    </row>
    <row r="173" spans="1:27" x14ac:dyDescent="0.35">
      <c r="E173" s="327"/>
      <c r="G173" s="327"/>
      <c r="H173" s="291"/>
    </row>
    <row r="174" spans="1:27" x14ac:dyDescent="0.35">
      <c r="E174" s="327"/>
      <c r="G174" s="327"/>
      <c r="H174" s="291"/>
    </row>
  </sheetData>
  <sheetProtection algorithmName="SHA-512" hashValue="IrzHlKcq0oXZVJ4rmDDatdO6vbH4sZIRH3bqQZsPh2U66TP9hzC0XSMgUXXCBqSgGCG4S3z5CYOvDzV6yjPojg==" saltValue="va/F7Yn7WgVZoCrafarYEw==" spinCount="100000" sheet="1" objects="1" scenarios="1"/>
  <mergeCells count="106">
    <mergeCell ref="B34:B41"/>
    <mergeCell ref="B42:B46"/>
    <mergeCell ref="B47:B52"/>
    <mergeCell ref="B55:B56"/>
    <mergeCell ref="B60:B61"/>
    <mergeCell ref="B20:B26"/>
    <mergeCell ref="G30:H30"/>
    <mergeCell ref="F57:H57"/>
    <mergeCell ref="C3:D3"/>
    <mergeCell ref="C4:D4"/>
    <mergeCell ref="C5:D5"/>
    <mergeCell ref="C6:D6"/>
    <mergeCell ref="C7:D7"/>
    <mergeCell ref="C10:D10"/>
    <mergeCell ref="C11:D11"/>
    <mergeCell ref="C12:D12"/>
    <mergeCell ref="C13:D13"/>
    <mergeCell ref="C14:D14"/>
    <mergeCell ref="C15:D15"/>
    <mergeCell ref="D17:H17"/>
    <mergeCell ref="D18:H18"/>
    <mergeCell ref="B17:B18"/>
    <mergeCell ref="C17:C18"/>
    <mergeCell ref="B29:B31"/>
    <mergeCell ref="C1:D2"/>
    <mergeCell ref="F3:H3"/>
    <mergeCell ref="F6:F7"/>
    <mergeCell ref="G6:G7"/>
    <mergeCell ref="F33:H33"/>
    <mergeCell ref="F19:H19"/>
    <mergeCell ref="C20:C26"/>
    <mergeCell ref="F20:H20"/>
    <mergeCell ref="F21:H21"/>
    <mergeCell ref="F22:H22"/>
    <mergeCell ref="F23:H23"/>
    <mergeCell ref="F24:H24"/>
    <mergeCell ref="F25:H25"/>
    <mergeCell ref="F26:H26"/>
    <mergeCell ref="F28:H28"/>
    <mergeCell ref="C29:C31"/>
    <mergeCell ref="F29:H29"/>
    <mergeCell ref="F31:H31"/>
    <mergeCell ref="H6:H7"/>
    <mergeCell ref="C34:C41"/>
    <mergeCell ref="F34:H34"/>
    <mergeCell ref="F35:H35"/>
    <mergeCell ref="F36:H36"/>
    <mergeCell ref="F37:H37"/>
    <mergeCell ref="F38:H38"/>
    <mergeCell ref="F39:H39"/>
    <mergeCell ref="F40:H40"/>
    <mergeCell ref="F41:H41"/>
    <mergeCell ref="C42:C46"/>
    <mergeCell ref="F42:H42"/>
    <mergeCell ref="F43:H43"/>
    <mergeCell ref="F44:H44"/>
    <mergeCell ref="F45:H45"/>
    <mergeCell ref="F46:H46"/>
    <mergeCell ref="C58:C59"/>
    <mergeCell ref="F58:H58"/>
    <mergeCell ref="F59:H59"/>
    <mergeCell ref="C47:C52"/>
    <mergeCell ref="F47:H47"/>
    <mergeCell ref="F48:H48"/>
    <mergeCell ref="F49:H49"/>
    <mergeCell ref="F50:H50"/>
    <mergeCell ref="F51:H51"/>
    <mergeCell ref="F52:H52"/>
    <mergeCell ref="C53:C54"/>
    <mergeCell ref="F53:H53"/>
    <mergeCell ref="F54:H54"/>
    <mergeCell ref="C55:C56"/>
    <mergeCell ref="F55:H55"/>
    <mergeCell ref="F56:H56"/>
    <mergeCell ref="C71:D71"/>
    <mergeCell ref="C60:C61"/>
    <mergeCell ref="F60:H60"/>
    <mergeCell ref="F61:H61"/>
    <mergeCell ref="F62:H62"/>
    <mergeCell ref="C64:D64"/>
    <mergeCell ref="C65:D65"/>
    <mergeCell ref="C66:D66"/>
    <mergeCell ref="C67:D67"/>
    <mergeCell ref="C68:D68"/>
    <mergeCell ref="C69:H69"/>
    <mergeCell ref="C70:D70"/>
    <mergeCell ref="D94:H94"/>
    <mergeCell ref="C95:D95"/>
    <mergeCell ref="C97:D97"/>
    <mergeCell ref="C98:D102"/>
    <mergeCell ref="E95:H102"/>
    <mergeCell ref="C93:D93"/>
    <mergeCell ref="C73:D73"/>
    <mergeCell ref="C74:D74"/>
    <mergeCell ref="C76:D76"/>
    <mergeCell ref="C77:D77"/>
    <mergeCell ref="C78:D78"/>
    <mergeCell ref="C80:D80"/>
    <mergeCell ref="C83:H83"/>
    <mergeCell ref="C84:H84"/>
    <mergeCell ref="C86:D86"/>
    <mergeCell ref="C88:D88"/>
    <mergeCell ref="C89:C92"/>
    <mergeCell ref="C81:D81"/>
    <mergeCell ref="F80:G80"/>
    <mergeCell ref="F81:G81"/>
  </mergeCells>
  <dataValidations count="1">
    <dataValidation type="list" allowBlank="1" showErrorMessage="1" error="Please type either Yes or No." sqref="E29:E31 E20:E26 E34:E62" xr:uid="{09636404-3523-4E11-9095-25D9044EC880}">
      <formula1>"Yes,No"</formula1>
    </dataValidation>
  </dataValidations>
  <pageMargins left="0.25" right="0.25" top="0.75" bottom="0.75" header="0.3" footer="0.3"/>
  <pageSetup scale="59" fitToHeight="0" orientation="portrait" horizontalDpi="1200" verticalDpi="1200" r:id="rId1"/>
  <ignoredErrors>
    <ignoredError sqref="F3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900"/>
  </sheetPr>
  <dimension ref="A1:V180"/>
  <sheetViews>
    <sheetView topLeftCell="A9" zoomScale="60" zoomScaleNormal="60" workbookViewId="0">
      <selection activeCell="B16" sqref="B16"/>
    </sheetView>
  </sheetViews>
  <sheetFormatPr baseColWidth="10" defaultColWidth="8.81640625" defaultRowHeight="15.5" x14ac:dyDescent="0.35"/>
  <cols>
    <col min="1" max="1" width="28.26953125" style="617" bestFit="1" customWidth="1"/>
    <col min="2" max="2" width="19.81640625" style="617" customWidth="1"/>
    <col min="3" max="3" width="19.453125" style="617" customWidth="1"/>
    <col min="4" max="4" width="26.54296875" style="617" bestFit="1" customWidth="1"/>
    <col min="5" max="5" width="18.54296875" style="617" customWidth="1"/>
    <col min="6" max="6" width="30.81640625" style="617" bestFit="1" customWidth="1"/>
    <col min="7" max="7" width="18.81640625" style="617" bestFit="1" customWidth="1"/>
    <col min="8" max="8" width="18.54296875" style="617" bestFit="1" customWidth="1"/>
    <col min="9" max="9" width="19.81640625" style="617" bestFit="1" customWidth="1"/>
    <col min="10" max="10" width="18.453125" style="617" bestFit="1" customWidth="1"/>
    <col min="11" max="11" width="18.54296875" style="617" bestFit="1" customWidth="1"/>
    <col min="12" max="12" width="23.26953125" style="617" bestFit="1" customWidth="1"/>
    <col min="13" max="13" width="28.7265625" style="617" bestFit="1" customWidth="1"/>
    <col min="14" max="14" width="23.7265625" style="617" bestFit="1" customWidth="1"/>
    <col min="15" max="15" width="29.81640625" style="617" bestFit="1" customWidth="1"/>
    <col min="16" max="16" width="27.26953125" style="617" customWidth="1"/>
    <col min="17" max="17" width="20.81640625" style="617" customWidth="1"/>
    <col min="18" max="18" width="15.7265625" style="617" customWidth="1"/>
    <col min="19" max="19" width="14.7265625" style="617" customWidth="1"/>
    <col min="20" max="20" width="15.453125" style="617" customWidth="1"/>
    <col min="21" max="21" width="11.7265625" style="617" customWidth="1"/>
    <col min="22" max="22" width="14.1796875" style="617" customWidth="1"/>
    <col min="23" max="31" width="15.7265625" style="617" customWidth="1"/>
    <col min="32" max="35" width="10.7265625" style="617" customWidth="1"/>
    <col min="36" max="16384" width="8.81640625" style="617"/>
  </cols>
  <sheetData>
    <row r="1" spans="1:22" ht="62.15" customHeight="1" thickBot="1" x14ac:dyDescent="0.4">
      <c r="A1" s="654" t="s">
        <v>42</v>
      </c>
      <c r="B1" s="1468" t="s">
        <v>381</v>
      </c>
      <c r="C1" s="1469"/>
      <c r="D1" s="1469"/>
      <c r="E1" s="1469"/>
      <c r="F1" s="1470"/>
      <c r="G1" s="655"/>
      <c r="H1" s="1471" t="s">
        <v>318</v>
      </c>
      <c r="I1" s="1472"/>
      <c r="J1" s="1472"/>
      <c r="K1" s="1472"/>
      <c r="L1" s="1472"/>
      <c r="M1" s="1473"/>
    </row>
    <row r="2" spans="1:22" ht="27.75" customHeight="1" x14ac:dyDescent="0.35">
      <c r="B2" s="656"/>
      <c r="H2" s="657" t="s">
        <v>319</v>
      </c>
      <c r="I2" s="658"/>
      <c r="J2" s="659" t="s">
        <v>320</v>
      </c>
      <c r="K2" s="660"/>
      <c r="L2" s="659" t="s">
        <v>321</v>
      </c>
      <c r="M2" s="661"/>
    </row>
    <row r="3" spans="1:22" ht="41.5" customHeight="1" x14ac:dyDescent="0.35">
      <c r="B3" s="615" t="s">
        <v>382</v>
      </c>
      <c r="C3" s="615" t="s">
        <v>383</v>
      </c>
      <c r="M3" s="635"/>
      <c r="N3" s="635"/>
      <c r="O3" s="635"/>
      <c r="P3" s="597"/>
      <c r="Q3" s="635"/>
      <c r="R3" s="597"/>
      <c r="U3" s="635"/>
      <c r="V3" s="635"/>
    </row>
    <row r="4" spans="1:22" ht="44.5" customHeight="1" x14ac:dyDescent="0.35">
      <c r="A4" s="662"/>
      <c r="B4" s="615" t="s">
        <v>1696</v>
      </c>
      <c r="C4" s="615" t="s">
        <v>1696</v>
      </c>
    </row>
    <row r="5" spans="1:22" ht="31.5" thickBot="1" x14ac:dyDescent="0.4">
      <c r="A5" s="615" t="s">
        <v>44</v>
      </c>
      <c r="B5" s="663">
        <f>SUM(G26,F41,H57)</f>
        <v>0</v>
      </c>
      <c r="C5" s="663">
        <f>SUM(H26,G41,I57)</f>
        <v>0</v>
      </c>
      <c r="G5" s="714" t="s">
        <v>384</v>
      </c>
      <c r="H5" s="715" t="s">
        <v>385</v>
      </c>
    </row>
    <row r="6" spans="1:22" ht="33" customHeight="1" thickBot="1" x14ac:dyDescent="0.4">
      <c r="A6" s="615" t="s">
        <v>45</v>
      </c>
      <c r="B6" s="663">
        <f>SUM(H73,H88)</f>
        <v>0</v>
      </c>
      <c r="C6" s="663">
        <f>SUM(I73,I88)</f>
        <v>0</v>
      </c>
      <c r="F6" s="716" t="s">
        <v>386</v>
      </c>
      <c r="G6" s="717">
        <f>SUM(C16:C25,B31:B40,D47:D56,D63:D72,D78:D87,D94:D103,D108:D117)*277.778</f>
        <v>0</v>
      </c>
      <c r="H6" s="711">
        <f>SUM(N63:N72,N78:N87,N94:N103,N108:N117)</f>
        <v>0</v>
      </c>
    </row>
    <row r="7" spans="1:22" ht="18.5" x14ac:dyDescent="0.35">
      <c r="A7" s="615" t="s">
        <v>46</v>
      </c>
      <c r="B7" s="663">
        <f>SUM(H104,H118)</f>
        <v>0</v>
      </c>
      <c r="C7" s="663">
        <f>SUM(I94:I103,I108:I117)</f>
        <v>0</v>
      </c>
    </row>
    <row r="8" spans="1:22" ht="18.5" x14ac:dyDescent="0.35">
      <c r="A8" s="615" t="s">
        <v>48</v>
      </c>
      <c r="B8" s="663">
        <f>SUM(H134,H150,H165,H180)</f>
        <v>0</v>
      </c>
      <c r="C8" s="663">
        <f>SUM(I134,I150,I165,I180)</f>
        <v>0</v>
      </c>
    </row>
    <row r="9" spans="1:22" ht="18.5" x14ac:dyDescent="0.35">
      <c r="A9" s="615" t="s">
        <v>327</v>
      </c>
      <c r="B9" s="623">
        <f>SUM(B5:B8)</f>
        <v>0</v>
      </c>
      <c r="C9" s="623">
        <f>SUM(C5:C8)</f>
        <v>0</v>
      </c>
    </row>
    <row r="10" spans="1:22" x14ac:dyDescent="0.35">
      <c r="B10" s="656"/>
      <c r="M10" s="635"/>
      <c r="N10" s="635"/>
      <c r="O10" s="635"/>
      <c r="P10" s="597"/>
      <c r="Q10" s="635"/>
      <c r="R10" s="597"/>
    </row>
    <row r="11" spans="1:22" x14ac:dyDescent="0.35">
      <c r="B11" s="656"/>
      <c r="M11" s="635"/>
      <c r="N11" s="635"/>
      <c r="O11" s="635"/>
      <c r="P11" s="597"/>
      <c r="Q11" s="635"/>
      <c r="R11" s="597"/>
      <c r="U11" s="635"/>
      <c r="V11" s="635"/>
    </row>
    <row r="12" spans="1:22" ht="36" x14ac:dyDescent="0.8">
      <c r="A12" s="1463" t="s">
        <v>1915</v>
      </c>
      <c r="B12" s="1464"/>
      <c r="C12" s="1464"/>
      <c r="D12" s="1464"/>
      <c r="E12" s="1464"/>
      <c r="F12" s="1464"/>
      <c r="G12" s="1464"/>
      <c r="H12" s="1464"/>
      <c r="I12" s="1464"/>
      <c r="J12" s="1464"/>
      <c r="K12" s="1464"/>
      <c r="L12" s="1464"/>
      <c r="M12" s="1464"/>
      <c r="N12" s="1464"/>
      <c r="U12" s="635"/>
      <c r="V12" s="635"/>
    </row>
    <row r="13" spans="1:22" s="667" customFormat="1" ht="24" thickBot="1" x14ac:dyDescent="0.6">
      <c r="A13" s="1474" t="s">
        <v>387</v>
      </c>
      <c r="B13" s="1475"/>
      <c r="C13" s="1476"/>
      <c r="D13" s="1461" t="s">
        <v>330</v>
      </c>
      <c r="E13" s="1462"/>
      <c r="F13" s="665"/>
      <c r="G13" s="666"/>
      <c r="H13" s="666"/>
      <c r="I13" s="666"/>
      <c r="J13" s="666"/>
      <c r="K13" s="666"/>
      <c r="L13" s="666"/>
      <c r="M13" s="666"/>
      <c r="N13" s="691"/>
      <c r="S13" s="617"/>
      <c r="T13" s="617"/>
      <c r="U13" s="617"/>
      <c r="V13" s="617"/>
    </row>
    <row r="14" spans="1:22" s="668" customFormat="1" ht="23.5" x14ac:dyDescent="0.45">
      <c r="G14" s="669" t="s">
        <v>39</v>
      </c>
      <c r="H14" s="670" t="s">
        <v>68</v>
      </c>
      <c r="M14" s="666"/>
      <c r="N14" s="666"/>
      <c r="O14" s="666"/>
      <c r="P14" s="691"/>
    </row>
    <row r="15" spans="1:22" s="668" customFormat="1" ht="70.5" customHeight="1" x14ac:dyDescent="0.45">
      <c r="A15" s="672" t="s">
        <v>331</v>
      </c>
      <c r="B15" s="672" t="s">
        <v>388</v>
      </c>
      <c r="C15" s="672" t="s">
        <v>389</v>
      </c>
      <c r="D15" s="672" t="s">
        <v>1696</v>
      </c>
      <c r="E15" s="672" t="s">
        <v>1697</v>
      </c>
      <c r="F15" s="718" t="s">
        <v>1698</v>
      </c>
      <c r="G15" s="673" t="s">
        <v>1696</v>
      </c>
      <c r="H15" s="674" t="s">
        <v>1696</v>
      </c>
    </row>
    <row r="16" spans="1:22" ht="18.5" x14ac:dyDescent="0.45">
      <c r="A16" s="698"/>
      <c r="B16" s="676"/>
      <c r="C16" s="677">
        <f>B16*0.0036</f>
        <v>0</v>
      </c>
      <c r="D16" s="677">
        <f>C16*'Emission Factors'!$C$22*0.001</f>
        <v>0</v>
      </c>
      <c r="E16" s="677">
        <f>C16*'Emission Factors'!$D$22*0.001</f>
        <v>0</v>
      </c>
      <c r="F16" s="677">
        <f>C16*'Emission Factors'!$E$22*0.001</f>
        <v>0</v>
      </c>
      <c r="G16" s="678">
        <f>D16+E16+F16</f>
        <v>0</v>
      </c>
      <c r="H16" s="679">
        <f>C16*AVERAGE('Emission Factors'!$B$42:$C$46)*0.001</f>
        <v>0</v>
      </c>
      <c r="M16" s="668"/>
      <c r="N16" s="668"/>
      <c r="O16" s="668"/>
      <c r="P16" s="668"/>
    </row>
    <row r="17" spans="1:22" ht="15.65" customHeight="1" x14ac:dyDescent="0.35">
      <c r="A17" s="698"/>
      <c r="B17" s="676"/>
      <c r="C17" s="677">
        <f t="shared" ref="C17:C25" si="0">B17*0.0036</f>
        <v>0</v>
      </c>
      <c r="D17" s="677">
        <f>C17*'Emission Factors'!$C$22*0.001</f>
        <v>0</v>
      </c>
      <c r="E17" s="677">
        <f>C17*'Emission Factors'!$D$22*0.001</f>
        <v>0</v>
      </c>
      <c r="F17" s="677">
        <f>C17*'Emission Factors'!$E$22*0.001</f>
        <v>0</v>
      </c>
      <c r="G17" s="678">
        <f t="shared" ref="G17:G25" si="1">D17+E17+F17</f>
        <v>0</v>
      </c>
      <c r="H17" s="679">
        <f>C17*AVERAGE('Emission Factors'!$B$42:$C$46)*0.001</f>
        <v>0</v>
      </c>
    </row>
    <row r="18" spans="1:22" x14ac:dyDescent="0.35">
      <c r="A18" s="698"/>
      <c r="B18" s="676"/>
      <c r="C18" s="677">
        <f t="shared" si="0"/>
        <v>0</v>
      </c>
      <c r="D18" s="677">
        <f>C18*'Emission Factors'!$C$22*0.001</f>
        <v>0</v>
      </c>
      <c r="E18" s="677">
        <f>C18*'Emission Factors'!$D$22*0.001</f>
        <v>0</v>
      </c>
      <c r="F18" s="677">
        <f>C18*'Emission Factors'!$E$22*0.001</f>
        <v>0</v>
      </c>
      <c r="G18" s="678">
        <f t="shared" si="1"/>
        <v>0</v>
      </c>
      <c r="H18" s="679">
        <f>C18*AVERAGE('Emission Factors'!$B$42:$C$46)*0.001</f>
        <v>0</v>
      </c>
    </row>
    <row r="19" spans="1:22" x14ac:dyDescent="0.35">
      <c r="A19" s="698"/>
      <c r="B19" s="676"/>
      <c r="C19" s="677">
        <f t="shared" si="0"/>
        <v>0</v>
      </c>
      <c r="D19" s="677">
        <f>C19*'Emission Factors'!$C$22*0.001</f>
        <v>0</v>
      </c>
      <c r="E19" s="677">
        <f>C19*'Emission Factors'!$D$22*0.001</f>
        <v>0</v>
      </c>
      <c r="F19" s="677">
        <f>C19*'Emission Factors'!$E$22*0.001</f>
        <v>0</v>
      </c>
      <c r="G19" s="678">
        <f t="shared" si="1"/>
        <v>0</v>
      </c>
      <c r="H19" s="679">
        <f>C19*AVERAGE('Emission Factors'!$B$42:$C$46)*0.001</f>
        <v>0</v>
      </c>
    </row>
    <row r="20" spans="1:22" x14ac:dyDescent="0.35">
      <c r="A20" s="698"/>
      <c r="B20" s="676"/>
      <c r="C20" s="677">
        <f t="shared" si="0"/>
        <v>0</v>
      </c>
      <c r="D20" s="677">
        <f>C20*'Emission Factors'!$C$22*0.001</f>
        <v>0</v>
      </c>
      <c r="E20" s="677">
        <f>C20*'Emission Factors'!$D$22*0.001</f>
        <v>0</v>
      </c>
      <c r="F20" s="677">
        <f>C20*'Emission Factors'!$E$22*0.001</f>
        <v>0</v>
      </c>
      <c r="G20" s="678">
        <f t="shared" si="1"/>
        <v>0</v>
      </c>
      <c r="H20" s="679">
        <f>C20*AVERAGE('Emission Factors'!$B$42:$C$46)*0.001</f>
        <v>0</v>
      </c>
    </row>
    <row r="21" spans="1:22" x14ac:dyDescent="0.35">
      <c r="A21" s="698"/>
      <c r="B21" s="676"/>
      <c r="C21" s="677">
        <f t="shared" si="0"/>
        <v>0</v>
      </c>
      <c r="D21" s="677">
        <f>C21*'Emission Factors'!$C$22*0.001</f>
        <v>0</v>
      </c>
      <c r="E21" s="677">
        <f>C21*'Emission Factors'!$D$22*0.001</f>
        <v>0</v>
      </c>
      <c r="F21" s="677">
        <f>C21*'Emission Factors'!$E$22*0.001</f>
        <v>0</v>
      </c>
      <c r="G21" s="678">
        <f t="shared" si="1"/>
        <v>0</v>
      </c>
      <c r="H21" s="679">
        <f>C21*AVERAGE('Emission Factors'!$B$42:$C$46)*0.001</f>
        <v>0</v>
      </c>
    </row>
    <row r="22" spans="1:22" ht="15.65" customHeight="1" x14ac:dyDescent="0.35">
      <c r="A22" s="698"/>
      <c r="B22" s="676"/>
      <c r="C22" s="677">
        <f t="shared" si="0"/>
        <v>0</v>
      </c>
      <c r="D22" s="677">
        <f>C22*'Emission Factors'!$C$22*0.001</f>
        <v>0</v>
      </c>
      <c r="E22" s="677">
        <f>C22*'Emission Factors'!$D$22*0.001</f>
        <v>0</v>
      </c>
      <c r="F22" s="677">
        <f>C22*'Emission Factors'!$E$22*0.001</f>
        <v>0</v>
      </c>
      <c r="G22" s="678">
        <f t="shared" si="1"/>
        <v>0</v>
      </c>
      <c r="H22" s="679">
        <f>C22*AVERAGE('Emission Factors'!$B$42:$C$46)*0.001</f>
        <v>0</v>
      </c>
    </row>
    <row r="23" spans="1:22" x14ac:dyDescent="0.35">
      <c r="A23" s="698"/>
      <c r="B23" s="676"/>
      <c r="C23" s="677">
        <f t="shared" si="0"/>
        <v>0</v>
      </c>
      <c r="D23" s="677">
        <f>C23*'Emission Factors'!$C$22*0.001</f>
        <v>0</v>
      </c>
      <c r="E23" s="677">
        <f>C23*'Emission Factors'!$D$22*0.001</f>
        <v>0</v>
      </c>
      <c r="F23" s="677">
        <f>C23*'Emission Factors'!$E$22*0.001</f>
        <v>0</v>
      </c>
      <c r="G23" s="678">
        <f t="shared" si="1"/>
        <v>0</v>
      </c>
      <c r="H23" s="679">
        <f>C23*AVERAGE('Emission Factors'!$B$42:$C$46)*0.001</f>
        <v>0</v>
      </c>
    </row>
    <row r="24" spans="1:22" x14ac:dyDescent="0.35">
      <c r="A24" s="698"/>
      <c r="B24" s="676"/>
      <c r="C24" s="677">
        <f t="shared" si="0"/>
        <v>0</v>
      </c>
      <c r="D24" s="677">
        <f>C24*'Emission Factors'!$C$22*0.001</f>
        <v>0</v>
      </c>
      <c r="E24" s="677">
        <f>C24*'Emission Factors'!$D$22*0.001</f>
        <v>0</v>
      </c>
      <c r="F24" s="677">
        <f>C24*'Emission Factors'!$E$22*0.001</f>
        <v>0</v>
      </c>
      <c r="G24" s="678">
        <f t="shared" si="1"/>
        <v>0</v>
      </c>
      <c r="H24" s="679">
        <f>C24*AVERAGE('Emission Factors'!$B$42:$C$46)*0.001</f>
        <v>0</v>
      </c>
    </row>
    <row r="25" spans="1:22" ht="16" thickBot="1" x14ac:dyDescent="0.4">
      <c r="A25" s="698"/>
      <c r="B25" s="676"/>
      <c r="C25" s="677">
        <f t="shared" si="0"/>
        <v>0</v>
      </c>
      <c r="D25" s="677">
        <f>C25*'Emission Factors'!$C$22*0.001</f>
        <v>0</v>
      </c>
      <c r="E25" s="677">
        <f>C25*'Emission Factors'!$D$22*0.001</f>
        <v>0</v>
      </c>
      <c r="F25" s="677">
        <f>C25*'Emission Factors'!$E$22*0.001</f>
        <v>0</v>
      </c>
      <c r="G25" s="678">
        <f t="shared" si="1"/>
        <v>0</v>
      </c>
      <c r="H25" s="679">
        <f>C25*AVERAGE('Emission Factors'!$B$42:$C$46)*0.001</f>
        <v>0</v>
      </c>
    </row>
    <row r="26" spans="1:22" ht="16" thickBot="1" x14ac:dyDescent="0.4">
      <c r="A26" s="693" t="s">
        <v>390</v>
      </c>
      <c r="F26" s="684" t="s">
        <v>1699</v>
      </c>
      <c r="G26" s="685">
        <f>SUM(G16:G25)</f>
        <v>0</v>
      </c>
      <c r="H26" s="686">
        <f>SUM(H16:H25)</f>
        <v>0</v>
      </c>
    </row>
    <row r="27" spans="1:22" s="667" customFormat="1" ht="23.5" x14ac:dyDescent="0.55000000000000004">
      <c r="A27" s="682" t="s">
        <v>335</v>
      </c>
      <c r="B27" s="683"/>
      <c r="C27" s="683"/>
      <c r="D27" s="683"/>
      <c r="E27" s="666"/>
      <c r="F27" s="683"/>
      <c r="G27" s="666"/>
      <c r="H27" s="666"/>
      <c r="I27" s="666"/>
      <c r="J27" s="666"/>
      <c r="K27" s="666"/>
      <c r="L27" s="666"/>
      <c r="M27" s="666"/>
      <c r="N27" s="666"/>
      <c r="O27" s="683"/>
      <c r="S27" s="666"/>
      <c r="T27" s="666"/>
      <c r="U27" s="666"/>
      <c r="V27" s="666"/>
    </row>
    <row r="28" spans="1:22" s="667" customFormat="1" ht="24" thickBot="1" x14ac:dyDescent="0.6">
      <c r="A28" s="1474" t="s">
        <v>391</v>
      </c>
      <c r="B28" s="1475"/>
      <c r="C28" s="1476"/>
      <c r="D28" s="1461" t="s">
        <v>330</v>
      </c>
      <c r="E28" s="1462"/>
      <c r="F28" s="665"/>
      <c r="G28" s="666"/>
      <c r="H28" s="666"/>
      <c r="I28" s="666"/>
      <c r="J28" s="666"/>
      <c r="K28" s="666"/>
      <c r="L28" s="666"/>
      <c r="M28" s="666"/>
      <c r="N28" s="691"/>
      <c r="P28" s="691"/>
      <c r="S28" s="666"/>
      <c r="T28" s="666"/>
      <c r="U28" s="666"/>
      <c r="V28" s="691"/>
    </row>
    <row r="29" spans="1:22" ht="23.5" x14ac:dyDescent="0.45">
      <c r="C29" s="668"/>
      <c r="D29" s="668"/>
      <c r="E29" s="668"/>
      <c r="F29" s="669" t="s">
        <v>39</v>
      </c>
      <c r="G29" s="670" t="s">
        <v>68</v>
      </c>
      <c r="H29" s="668"/>
      <c r="I29" s="668"/>
      <c r="J29" s="668"/>
      <c r="K29" s="668"/>
      <c r="L29" s="666"/>
    </row>
    <row r="30" spans="1:22" ht="76.5" customHeight="1" x14ac:dyDescent="0.45">
      <c r="A30" s="672" t="s">
        <v>331</v>
      </c>
      <c r="B30" s="672" t="s">
        <v>392</v>
      </c>
      <c r="C30" s="672" t="s">
        <v>1696</v>
      </c>
      <c r="D30" s="672" t="s">
        <v>1697</v>
      </c>
      <c r="E30" s="718" t="s">
        <v>1698</v>
      </c>
      <c r="F30" s="673" t="s">
        <v>1696</v>
      </c>
      <c r="G30" s="674" t="s">
        <v>1696</v>
      </c>
      <c r="H30" s="668"/>
      <c r="I30" s="668"/>
      <c r="J30" s="668"/>
      <c r="K30" s="668"/>
      <c r="L30" s="668"/>
    </row>
    <row r="31" spans="1:22" ht="18.5" x14ac:dyDescent="0.45">
      <c r="A31" s="698"/>
      <c r="B31" s="676"/>
      <c r="C31" s="677">
        <f>B31*'Emission Factors'!$C$22*0.001</f>
        <v>0</v>
      </c>
      <c r="D31" s="677">
        <f>B31*'Emission Factors'!$D$22*0.001</f>
        <v>0</v>
      </c>
      <c r="E31" s="677">
        <f>B31*'Emission Factors'!$E$22*0.001</f>
        <v>0</v>
      </c>
      <c r="F31" s="678">
        <f>C31+D31+E31</f>
        <v>0</v>
      </c>
      <c r="G31" s="679">
        <f>B31*AVERAGE('Emission Factors'!$B$42:$C$46)*0.001</f>
        <v>0</v>
      </c>
      <c r="L31" s="668"/>
    </row>
    <row r="32" spans="1:22" x14ac:dyDescent="0.35">
      <c r="A32" s="698"/>
      <c r="B32" s="676"/>
      <c r="C32" s="677">
        <f>B32*'Emission Factors'!$C$22*0.001</f>
        <v>0</v>
      </c>
      <c r="D32" s="677">
        <f>C32*'Emission Factors'!$D$22*0.001</f>
        <v>0</v>
      </c>
      <c r="E32" s="677">
        <f>D32*'Emission Factors'!$E$22*0.001</f>
        <v>0</v>
      </c>
      <c r="F32" s="678">
        <f t="shared" ref="F32:F40" si="2">C32+D32+E32</f>
        <v>0</v>
      </c>
      <c r="G32" s="679">
        <f>B32*AVERAGE('Emission Factors'!$B$42:$C$46)*0.001</f>
        <v>0</v>
      </c>
    </row>
    <row r="33" spans="1:22" x14ac:dyDescent="0.35">
      <c r="A33" s="698"/>
      <c r="B33" s="676"/>
      <c r="C33" s="677">
        <f>B33*'Emission Factors'!$C$22*0.001</f>
        <v>0</v>
      </c>
      <c r="D33" s="677">
        <f>C33*'Emission Factors'!$D$22*0.001</f>
        <v>0</v>
      </c>
      <c r="E33" s="677">
        <f>D33*'Emission Factors'!$E$22*0.001</f>
        <v>0</v>
      </c>
      <c r="F33" s="678">
        <f t="shared" si="2"/>
        <v>0</v>
      </c>
      <c r="G33" s="679">
        <f>B33*AVERAGE('Emission Factors'!$B$42:$C$46)*0.001</f>
        <v>0</v>
      </c>
    </row>
    <row r="34" spans="1:22" x14ac:dyDescent="0.35">
      <c r="A34" s="698"/>
      <c r="B34" s="676"/>
      <c r="C34" s="677">
        <f>B34*'Emission Factors'!$C$22*0.001</f>
        <v>0</v>
      </c>
      <c r="D34" s="677">
        <f>C34*'Emission Factors'!$D$22*0.001</f>
        <v>0</v>
      </c>
      <c r="E34" s="677">
        <f>D34*'Emission Factors'!$E$22*0.001</f>
        <v>0</v>
      </c>
      <c r="F34" s="678">
        <f t="shared" si="2"/>
        <v>0</v>
      </c>
      <c r="G34" s="679">
        <f>B34*AVERAGE('Emission Factors'!$B$42:$C$46)*0.001</f>
        <v>0</v>
      </c>
    </row>
    <row r="35" spans="1:22" x14ac:dyDescent="0.35">
      <c r="A35" s="698"/>
      <c r="B35" s="676"/>
      <c r="C35" s="677">
        <f>B35*'Emission Factors'!$C$22*0.001</f>
        <v>0</v>
      </c>
      <c r="D35" s="677">
        <f>C35*'Emission Factors'!$D$22*0.001</f>
        <v>0</v>
      </c>
      <c r="E35" s="677">
        <f>D35*'Emission Factors'!$E$22*0.001</f>
        <v>0</v>
      </c>
      <c r="F35" s="678">
        <f t="shared" si="2"/>
        <v>0</v>
      </c>
      <c r="G35" s="679">
        <f>B35*AVERAGE('Emission Factors'!$B$42:$C$46)*0.001</f>
        <v>0</v>
      </c>
    </row>
    <row r="36" spans="1:22" x14ac:dyDescent="0.35">
      <c r="A36" s="698"/>
      <c r="B36" s="676"/>
      <c r="C36" s="677">
        <f>B36*'Emission Factors'!$C$22*0.001</f>
        <v>0</v>
      </c>
      <c r="D36" s="677">
        <f>C36*'Emission Factors'!$D$22*0.001</f>
        <v>0</v>
      </c>
      <c r="E36" s="677">
        <f>D36*'Emission Factors'!$E$22*0.001</f>
        <v>0</v>
      </c>
      <c r="F36" s="678">
        <f t="shared" si="2"/>
        <v>0</v>
      </c>
      <c r="G36" s="679">
        <f>B36*AVERAGE('Emission Factors'!$B$42:$C$46)*0.001</f>
        <v>0</v>
      </c>
    </row>
    <row r="37" spans="1:22" x14ac:dyDescent="0.35">
      <c r="A37" s="698"/>
      <c r="B37" s="676"/>
      <c r="C37" s="677">
        <f>B37*'Emission Factors'!$C$22*0.001</f>
        <v>0</v>
      </c>
      <c r="D37" s="677">
        <f>C37*'Emission Factors'!$D$22*0.001</f>
        <v>0</v>
      </c>
      <c r="E37" s="677">
        <f>D37*'Emission Factors'!$E$22*0.001</f>
        <v>0</v>
      </c>
      <c r="F37" s="678">
        <f t="shared" si="2"/>
        <v>0</v>
      </c>
      <c r="G37" s="679">
        <f>B37*AVERAGE('Emission Factors'!$B$42:$C$46)*0.001</f>
        <v>0</v>
      </c>
    </row>
    <row r="38" spans="1:22" x14ac:dyDescent="0.35">
      <c r="A38" s="698"/>
      <c r="B38" s="676"/>
      <c r="C38" s="677">
        <f>B38*'Emission Factors'!$C$22*0.001</f>
        <v>0</v>
      </c>
      <c r="D38" s="677">
        <f>C38*'Emission Factors'!$D$22*0.001</f>
        <v>0</v>
      </c>
      <c r="E38" s="677">
        <f>D38*'Emission Factors'!$E$22*0.001</f>
        <v>0</v>
      </c>
      <c r="F38" s="678">
        <f t="shared" si="2"/>
        <v>0</v>
      </c>
      <c r="G38" s="679">
        <f>B38*AVERAGE('Emission Factors'!$B$42:$C$46)*0.001</f>
        <v>0</v>
      </c>
    </row>
    <row r="39" spans="1:22" x14ac:dyDescent="0.35">
      <c r="A39" s="698"/>
      <c r="B39" s="676"/>
      <c r="C39" s="677">
        <f>B39*'Emission Factors'!$C$22*0.001</f>
        <v>0</v>
      </c>
      <c r="D39" s="677">
        <f>C39*'Emission Factors'!$D$22*0.001</f>
        <v>0</v>
      </c>
      <c r="E39" s="677">
        <f>D39*'Emission Factors'!$E$22*0.001</f>
        <v>0</v>
      </c>
      <c r="F39" s="678">
        <f t="shared" si="2"/>
        <v>0</v>
      </c>
      <c r="G39" s="679">
        <f>B39*AVERAGE('Emission Factors'!$B$42:$C$46)*0.001</f>
        <v>0</v>
      </c>
    </row>
    <row r="40" spans="1:22" ht="16" thickBot="1" x14ac:dyDescent="0.4">
      <c r="A40" s="698"/>
      <c r="B40" s="676"/>
      <c r="C40" s="677">
        <f>B40*'Emission Factors'!$C$22*0.001</f>
        <v>0</v>
      </c>
      <c r="D40" s="677">
        <f>C40*'Emission Factors'!$D$22*0.001</f>
        <v>0</v>
      </c>
      <c r="E40" s="677">
        <f>D40*'Emission Factors'!$E$22*0.001</f>
        <v>0</v>
      </c>
      <c r="F40" s="678">
        <f t="shared" si="2"/>
        <v>0</v>
      </c>
      <c r="G40" s="679">
        <f>B40*AVERAGE('Emission Factors'!$B$42:$C$46)*0.001</f>
        <v>0</v>
      </c>
    </row>
    <row r="41" spans="1:22" ht="16" thickBot="1" x14ac:dyDescent="0.4">
      <c r="A41" s="693" t="s">
        <v>390</v>
      </c>
      <c r="E41" s="684" t="s">
        <v>1699</v>
      </c>
      <c r="F41" s="685">
        <f>SUM(F31:F40)</f>
        <v>0</v>
      </c>
      <c r="G41" s="686">
        <f>SUM(G31:G40)</f>
        <v>0</v>
      </c>
      <c r="R41" s="719"/>
      <c r="S41" s="719"/>
      <c r="T41" s="719"/>
      <c r="U41" s="719"/>
    </row>
    <row r="42" spans="1:22" ht="31" x14ac:dyDescent="0.35">
      <c r="A42" s="699" t="s">
        <v>393</v>
      </c>
      <c r="B42" s="700" t="s">
        <v>360</v>
      </c>
      <c r="C42" s="683"/>
      <c r="D42" s="666"/>
      <c r="E42" s="683"/>
      <c r="F42" s="666"/>
      <c r="G42" s="666"/>
      <c r="H42" s="666"/>
      <c r="I42" s="666"/>
      <c r="J42" s="666"/>
      <c r="K42" s="666"/>
      <c r="L42" s="666"/>
      <c r="M42" s="719"/>
      <c r="N42" s="719"/>
      <c r="O42" s="635"/>
      <c r="S42" s="666"/>
      <c r="T42" s="666"/>
      <c r="U42" s="666"/>
      <c r="V42" s="666"/>
    </row>
    <row r="43" spans="1:22" s="667" customFormat="1" ht="23.5" x14ac:dyDescent="0.55000000000000004">
      <c r="A43" s="682" t="s">
        <v>335</v>
      </c>
      <c r="B43" s="683"/>
      <c r="C43" s="683"/>
      <c r="D43" s="683"/>
      <c r="E43" s="666"/>
      <c r="F43" s="683"/>
      <c r="G43" s="666"/>
      <c r="H43" s="666"/>
      <c r="I43" s="666"/>
      <c r="J43" s="666"/>
      <c r="K43" s="666"/>
      <c r="L43" s="666"/>
      <c r="M43" s="666"/>
      <c r="N43" s="666"/>
      <c r="O43" s="683"/>
    </row>
    <row r="44" spans="1:22" s="667" customFormat="1" ht="24" customHeight="1" thickBot="1" x14ac:dyDescent="0.6">
      <c r="A44" s="1474" t="s">
        <v>1760</v>
      </c>
      <c r="B44" s="1475"/>
      <c r="C44" s="1476"/>
      <c r="D44" s="1461" t="s">
        <v>330</v>
      </c>
      <c r="E44" s="1462"/>
      <c r="F44" s="665"/>
      <c r="G44" s="666"/>
      <c r="H44" s="666"/>
      <c r="S44" s="617"/>
      <c r="T44" s="617"/>
      <c r="U44" s="617"/>
      <c r="V44" s="617"/>
    </row>
    <row r="45" spans="1:22" ht="23.5" x14ac:dyDescent="0.45">
      <c r="D45" s="668"/>
      <c r="E45" s="668"/>
      <c r="F45" s="668"/>
      <c r="G45" s="668"/>
      <c r="H45" s="669" t="s">
        <v>39</v>
      </c>
      <c r="I45" s="670" t="s">
        <v>68</v>
      </c>
      <c r="J45" s="668"/>
      <c r="K45" s="668"/>
      <c r="L45" s="668"/>
      <c r="M45" s="668"/>
      <c r="N45" s="666"/>
    </row>
    <row r="46" spans="1:22" ht="78" customHeight="1" x14ac:dyDescent="0.45">
      <c r="A46" s="720" t="s">
        <v>331</v>
      </c>
      <c r="B46" s="720" t="s">
        <v>1763</v>
      </c>
      <c r="C46" s="672" t="s">
        <v>388</v>
      </c>
      <c r="D46" s="672" t="s">
        <v>389</v>
      </c>
      <c r="E46" s="672" t="s">
        <v>1696</v>
      </c>
      <c r="F46" s="672" t="s">
        <v>1697</v>
      </c>
      <c r="G46" s="718" t="s">
        <v>1698</v>
      </c>
      <c r="H46" s="673" t="s">
        <v>1696</v>
      </c>
      <c r="I46" s="674" t="s">
        <v>1696</v>
      </c>
      <c r="J46" s="668"/>
      <c r="K46" s="668"/>
      <c r="L46" s="668"/>
      <c r="M46" s="668"/>
      <c r="N46" s="668"/>
    </row>
    <row r="47" spans="1:22" ht="18.5" x14ac:dyDescent="0.45">
      <c r="A47" s="675"/>
      <c r="B47" s="675"/>
      <c r="C47" s="677">
        <f>B47/0.113</f>
        <v>0</v>
      </c>
      <c r="D47" s="677">
        <f>C47*0.0036</f>
        <v>0</v>
      </c>
      <c r="E47" s="677">
        <f>D47*'Emission Factors'!$C$22*0.001</f>
        <v>0</v>
      </c>
      <c r="F47" s="677">
        <f>D47*'Emission Factors'!$D$22*0.001</f>
        <v>0</v>
      </c>
      <c r="G47" s="677">
        <f>D47*'Emission Factors'!$E$22*0.001</f>
        <v>0</v>
      </c>
      <c r="H47" s="678">
        <f>E47+F47+G47</f>
        <v>0</v>
      </c>
      <c r="I47" s="679">
        <f>D47*AVERAGE('Emission Factors'!$B$42:$C$46)*0.001</f>
        <v>0</v>
      </c>
      <c r="N47" s="668"/>
    </row>
    <row r="48" spans="1:22" x14ac:dyDescent="0.35">
      <c r="A48" s="675"/>
      <c r="B48" s="675"/>
      <c r="C48" s="677">
        <f t="shared" ref="C48:C56" si="3">B48/0.113</f>
        <v>0</v>
      </c>
      <c r="D48" s="677">
        <f t="shared" ref="D48:D56" si="4">C48*0.0036</f>
        <v>0</v>
      </c>
      <c r="E48" s="677">
        <f>D48*'Emission Factors'!$C$22*0.001</f>
        <v>0</v>
      </c>
      <c r="F48" s="677">
        <f>D48*'Emission Factors'!$D$22*0.001</f>
        <v>0</v>
      </c>
      <c r="G48" s="677">
        <f>D48*'Emission Factors'!$E$22*0.001</f>
        <v>0</v>
      </c>
      <c r="H48" s="678">
        <f t="shared" ref="H48:H56" si="5">E48+F48+G48</f>
        <v>0</v>
      </c>
      <c r="I48" s="679">
        <f>D48*AVERAGE('Emission Factors'!$B$42:$C$46)*0.001</f>
        <v>0</v>
      </c>
    </row>
    <row r="49" spans="1:22" x14ac:dyDescent="0.35">
      <c r="A49" s="675"/>
      <c r="B49" s="675"/>
      <c r="C49" s="677">
        <f t="shared" si="3"/>
        <v>0</v>
      </c>
      <c r="D49" s="677">
        <f t="shared" si="4"/>
        <v>0</v>
      </c>
      <c r="E49" s="677">
        <f>D49*'Emission Factors'!$C$22*0.001</f>
        <v>0</v>
      </c>
      <c r="F49" s="677">
        <f>D49*'Emission Factors'!$D$22*0.001</f>
        <v>0</v>
      </c>
      <c r="G49" s="677">
        <f>D49*'Emission Factors'!$E$22*0.001</f>
        <v>0</v>
      </c>
      <c r="H49" s="678">
        <f t="shared" si="5"/>
        <v>0</v>
      </c>
      <c r="I49" s="679">
        <f>D49*AVERAGE('Emission Factors'!$B$42:$C$46)*0.001</f>
        <v>0</v>
      </c>
    </row>
    <row r="50" spans="1:22" x14ac:dyDescent="0.35">
      <c r="A50" s="675"/>
      <c r="B50" s="675"/>
      <c r="C50" s="677">
        <f t="shared" si="3"/>
        <v>0</v>
      </c>
      <c r="D50" s="677">
        <f t="shared" si="4"/>
        <v>0</v>
      </c>
      <c r="E50" s="677">
        <f>D50*'Emission Factors'!$C$22*0.001</f>
        <v>0</v>
      </c>
      <c r="F50" s="677">
        <f>D50*'Emission Factors'!$D$22*0.001</f>
        <v>0</v>
      </c>
      <c r="G50" s="677">
        <f>D50*'Emission Factors'!$E$22*0.001</f>
        <v>0</v>
      </c>
      <c r="H50" s="678">
        <f t="shared" si="5"/>
        <v>0</v>
      </c>
      <c r="I50" s="679">
        <f>D50*AVERAGE('Emission Factors'!$B$42:$C$46)*0.001</f>
        <v>0</v>
      </c>
    </row>
    <row r="51" spans="1:22" x14ac:dyDescent="0.35">
      <c r="A51" s="675"/>
      <c r="B51" s="675"/>
      <c r="C51" s="677">
        <f t="shared" si="3"/>
        <v>0</v>
      </c>
      <c r="D51" s="677">
        <f t="shared" si="4"/>
        <v>0</v>
      </c>
      <c r="E51" s="677">
        <f>D51*'Emission Factors'!$C$22*0.001</f>
        <v>0</v>
      </c>
      <c r="F51" s="677">
        <f>D51*'Emission Factors'!$D$22*0.001</f>
        <v>0</v>
      </c>
      <c r="G51" s="677">
        <f>D51*'Emission Factors'!$E$22*0.001</f>
        <v>0</v>
      </c>
      <c r="H51" s="678">
        <f t="shared" si="5"/>
        <v>0</v>
      </c>
      <c r="I51" s="679">
        <f>D51*AVERAGE('Emission Factors'!$B$42:$C$46)*0.001</f>
        <v>0</v>
      </c>
    </row>
    <row r="52" spans="1:22" x14ac:dyDescent="0.35">
      <c r="A52" s="675"/>
      <c r="B52" s="675"/>
      <c r="C52" s="677">
        <f t="shared" si="3"/>
        <v>0</v>
      </c>
      <c r="D52" s="677">
        <f t="shared" si="4"/>
        <v>0</v>
      </c>
      <c r="E52" s="677">
        <f>D52*'Emission Factors'!$C$22*0.001</f>
        <v>0</v>
      </c>
      <c r="F52" s="677">
        <f>D52*'Emission Factors'!$D$22*0.001</f>
        <v>0</v>
      </c>
      <c r="G52" s="677">
        <f>D52*'Emission Factors'!$E$22*0.001</f>
        <v>0</v>
      </c>
      <c r="H52" s="678">
        <f t="shared" si="5"/>
        <v>0</v>
      </c>
      <c r="I52" s="679">
        <f>D52*AVERAGE('Emission Factors'!$B$42:$C$46)*0.001</f>
        <v>0</v>
      </c>
    </row>
    <row r="53" spans="1:22" x14ac:dyDescent="0.35">
      <c r="A53" s="675"/>
      <c r="B53" s="675"/>
      <c r="C53" s="677">
        <f t="shared" si="3"/>
        <v>0</v>
      </c>
      <c r="D53" s="677">
        <f t="shared" si="4"/>
        <v>0</v>
      </c>
      <c r="E53" s="677">
        <f>D53*'Emission Factors'!$C$22*0.001</f>
        <v>0</v>
      </c>
      <c r="F53" s="677">
        <f>D53*'Emission Factors'!$D$22*0.001</f>
        <v>0</v>
      </c>
      <c r="G53" s="677">
        <f>D53*'Emission Factors'!$E$22*0.001</f>
        <v>0</v>
      </c>
      <c r="H53" s="678">
        <f t="shared" si="5"/>
        <v>0</v>
      </c>
      <c r="I53" s="679">
        <f>D53*AVERAGE('Emission Factors'!$B$42:$C$46)*0.001</f>
        <v>0</v>
      </c>
    </row>
    <row r="54" spans="1:22" x14ac:dyDescent="0.35">
      <c r="A54" s="675"/>
      <c r="B54" s="675"/>
      <c r="C54" s="677">
        <f t="shared" si="3"/>
        <v>0</v>
      </c>
      <c r="D54" s="677">
        <f t="shared" si="4"/>
        <v>0</v>
      </c>
      <c r="E54" s="677">
        <f>D54*'Emission Factors'!$C$22*0.001</f>
        <v>0</v>
      </c>
      <c r="F54" s="677">
        <f>D54*'Emission Factors'!$D$22*0.001</f>
        <v>0</v>
      </c>
      <c r="G54" s="677">
        <f>D54*'Emission Factors'!$E$22*0.001</f>
        <v>0</v>
      </c>
      <c r="H54" s="678">
        <f t="shared" si="5"/>
        <v>0</v>
      </c>
      <c r="I54" s="679">
        <f>D54*AVERAGE('Emission Factors'!$B$42:$C$46)*0.001</f>
        <v>0</v>
      </c>
    </row>
    <row r="55" spans="1:22" x14ac:dyDescent="0.35">
      <c r="A55" s="675"/>
      <c r="B55" s="675"/>
      <c r="C55" s="677">
        <f t="shared" si="3"/>
        <v>0</v>
      </c>
      <c r="D55" s="677">
        <f t="shared" si="4"/>
        <v>0</v>
      </c>
      <c r="E55" s="677">
        <f>D55*'Emission Factors'!$C$22*0.001</f>
        <v>0</v>
      </c>
      <c r="F55" s="677">
        <f>D55*'Emission Factors'!$D$22*0.001</f>
        <v>0</v>
      </c>
      <c r="G55" s="677">
        <f>D55*'Emission Factors'!$E$22*0.001</f>
        <v>0</v>
      </c>
      <c r="H55" s="678">
        <f t="shared" si="5"/>
        <v>0</v>
      </c>
      <c r="I55" s="679">
        <f>D55*AVERAGE('Emission Factors'!$B$42:$C$46)*0.001</f>
        <v>0</v>
      </c>
    </row>
    <row r="56" spans="1:22" ht="16" thickBot="1" x14ac:dyDescent="0.4">
      <c r="A56" s="675"/>
      <c r="B56" s="675"/>
      <c r="C56" s="677">
        <f t="shared" si="3"/>
        <v>0</v>
      </c>
      <c r="D56" s="677">
        <f t="shared" si="4"/>
        <v>0</v>
      </c>
      <c r="E56" s="677">
        <f>D56*'Emission Factors'!$C$22*0.001</f>
        <v>0</v>
      </c>
      <c r="F56" s="677">
        <f>D56*'Emission Factors'!$D$22*0.001</f>
        <v>0</v>
      </c>
      <c r="G56" s="677">
        <f>D56*'Emission Factors'!$E$22*0.001</f>
        <v>0</v>
      </c>
      <c r="H56" s="678">
        <f t="shared" si="5"/>
        <v>0</v>
      </c>
      <c r="I56" s="679">
        <f>D56*AVERAGE('Emission Factors'!$B$42:$C$46)*0.001</f>
        <v>0</v>
      </c>
    </row>
    <row r="57" spans="1:22" ht="16" thickBot="1" x14ac:dyDescent="0.4">
      <c r="A57" s="693" t="s">
        <v>390</v>
      </c>
      <c r="G57" s="684" t="s">
        <v>1699</v>
      </c>
      <c r="H57" s="685">
        <f>SUM(H47:H56)</f>
        <v>0</v>
      </c>
      <c r="I57" s="686">
        <f>SUM(I47:I56)</f>
        <v>0</v>
      </c>
    </row>
    <row r="58" spans="1:22" ht="23.5" x14ac:dyDescent="0.35">
      <c r="V58" s="666"/>
    </row>
    <row r="59" spans="1:22" s="664" customFormat="1" ht="36" x14ac:dyDescent="0.8">
      <c r="A59" s="1463" t="s">
        <v>45</v>
      </c>
      <c r="B59" s="1464"/>
      <c r="C59" s="1464"/>
      <c r="D59" s="1464"/>
      <c r="E59" s="1464"/>
      <c r="F59" s="1464"/>
      <c r="G59" s="1464"/>
      <c r="H59" s="1464"/>
      <c r="I59" s="1464"/>
      <c r="J59" s="1464"/>
      <c r="K59" s="1464"/>
      <c r="L59" s="1464"/>
      <c r="M59" s="1464"/>
      <c r="N59" s="1464"/>
      <c r="O59" s="1464"/>
      <c r="P59" s="1464"/>
      <c r="Q59" s="1464"/>
      <c r="R59" s="617"/>
      <c r="V59" s="617"/>
    </row>
    <row r="60" spans="1:22" s="667" customFormat="1" ht="24" thickBot="1" x14ac:dyDescent="0.6">
      <c r="A60" s="1474" t="s">
        <v>356</v>
      </c>
      <c r="B60" s="1475"/>
      <c r="C60" s="1476"/>
      <c r="D60" s="1461" t="s">
        <v>330</v>
      </c>
      <c r="E60" s="1462"/>
      <c r="F60" s="683"/>
      <c r="G60" s="666"/>
      <c r="H60" s="666"/>
      <c r="I60" s="666"/>
      <c r="J60" s="666"/>
      <c r="K60" s="666"/>
      <c r="L60" s="666"/>
      <c r="M60" s="666"/>
      <c r="N60" s="666"/>
      <c r="O60" s="691"/>
      <c r="Q60" s="691"/>
      <c r="R60" s="617"/>
      <c r="S60" s="666"/>
      <c r="T60" s="666"/>
      <c r="U60" s="666"/>
      <c r="V60" s="617"/>
    </row>
    <row r="61" spans="1:22" ht="36" customHeight="1" x14ac:dyDescent="0.8">
      <c r="E61" s="668"/>
      <c r="F61" s="668"/>
      <c r="G61" s="668"/>
      <c r="H61" s="669" t="s">
        <v>39</v>
      </c>
      <c r="I61" s="670" t="s">
        <v>68</v>
      </c>
      <c r="K61" s="664"/>
      <c r="L61" s="1465" t="s">
        <v>394</v>
      </c>
      <c r="M61" s="1466"/>
      <c r="N61" s="1467"/>
    </row>
    <row r="62" spans="1:22" ht="85.5" customHeight="1" x14ac:dyDescent="0.55000000000000004">
      <c r="A62" s="697" t="s">
        <v>331</v>
      </c>
      <c r="B62" s="672" t="s">
        <v>395</v>
      </c>
      <c r="C62" s="672" t="s">
        <v>396</v>
      </c>
      <c r="D62" s="672" t="s">
        <v>334</v>
      </c>
      <c r="E62" s="672" t="s">
        <v>1696</v>
      </c>
      <c r="F62" s="672" t="s">
        <v>1697</v>
      </c>
      <c r="G62" s="672" t="s">
        <v>1698</v>
      </c>
      <c r="H62" s="673" t="s">
        <v>1696</v>
      </c>
      <c r="I62" s="674" t="s">
        <v>1696</v>
      </c>
      <c r="K62" s="667"/>
      <c r="L62" s="721" t="s">
        <v>397</v>
      </c>
      <c r="M62" s="628" t="s">
        <v>398</v>
      </c>
      <c r="N62" s="722" t="s">
        <v>399</v>
      </c>
    </row>
    <row r="63" spans="1:22" x14ac:dyDescent="0.35">
      <c r="A63" s="698"/>
      <c r="B63" s="713"/>
      <c r="C63" s="677">
        <f>B63/1000</f>
        <v>0</v>
      </c>
      <c r="D63" s="677">
        <f>'Emission Factors'!$B$69*C63</f>
        <v>0</v>
      </c>
      <c r="E63" s="677">
        <f>'Emission Factors'!$C$69*D63*0.001</f>
        <v>0</v>
      </c>
      <c r="F63" s="677">
        <f>'Emission Factors'!$D$69*D63*0.001</f>
        <v>0</v>
      </c>
      <c r="G63" s="677">
        <f>'Emission Factors'!$E$69*D63*0.001</f>
        <v>0</v>
      </c>
      <c r="H63" s="678">
        <f>E63+F63+G63</f>
        <v>0</v>
      </c>
      <c r="I63" s="679">
        <f>D63*'Emission Factors'!$G$69*0.001</f>
        <v>0</v>
      </c>
      <c r="L63" s="723">
        <f t="shared" ref="L63:L72" si="6">B63*0.264</f>
        <v>0</v>
      </c>
      <c r="M63" s="688">
        <f>SUM(L63*35.97)</f>
        <v>0</v>
      </c>
      <c r="N63" s="724">
        <f>SUM(M63*0.002516)</f>
        <v>0</v>
      </c>
    </row>
    <row r="64" spans="1:22" x14ac:dyDescent="0.35">
      <c r="A64" s="698"/>
      <c r="B64" s="676"/>
      <c r="C64" s="677">
        <f t="shared" ref="C64:C72" si="7">B64/1000</f>
        <v>0</v>
      </c>
      <c r="D64" s="677">
        <f>'Emission Factors'!$B$69*C64</f>
        <v>0</v>
      </c>
      <c r="E64" s="677">
        <f>'Emission Factors'!$C$69*D64*0.001</f>
        <v>0</v>
      </c>
      <c r="F64" s="677">
        <f>'Emission Factors'!$D$69*D64*0.001</f>
        <v>0</v>
      </c>
      <c r="G64" s="677">
        <f>'Emission Factors'!$E$69*D64*0.001</f>
        <v>0</v>
      </c>
      <c r="H64" s="678">
        <f t="shared" ref="H64:H72" si="8">E64+F64+G64</f>
        <v>0</v>
      </c>
      <c r="I64" s="679">
        <f>D64*'Emission Factors'!$G$69*0.001</f>
        <v>0</v>
      </c>
      <c r="L64" s="723">
        <f t="shared" si="6"/>
        <v>0</v>
      </c>
      <c r="M64" s="688">
        <f t="shared" ref="M64:M72" si="9">SUM(L64*35.97)</f>
        <v>0</v>
      </c>
      <c r="N64" s="724">
        <f t="shared" ref="N64:N72" si="10">SUM(M64*0.002516)</f>
        <v>0</v>
      </c>
    </row>
    <row r="65" spans="1:22" x14ac:dyDescent="0.35">
      <c r="A65" s="698"/>
      <c r="B65" s="676"/>
      <c r="C65" s="677">
        <f t="shared" si="7"/>
        <v>0</v>
      </c>
      <c r="D65" s="677">
        <f>'Emission Factors'!$B$69*C65</f>
        <v>0</v>
      </c>
      <c r="E65" s="677">
        <f>'Emission Factors'!$C$69*D65*0.001</f>
        <v>0</v>
      </c>
      <c r="F65" s="677">
        <f>'Emission Factors'!$D$69*D65*0.001</f>
        <v>0</v>
      </c>
      <c r="G65" s="677">
        <f>'Emission Factors'!$E$69*D65*0.001</f>
        <v>0</v>
      </c>
      <c r="H65" s="678">
        <f t="shared" si="8"/>
        <v>0</v>
      </c>
      <c r="I65" s="679">
        <f>D65*'Emission Factors'!$G$69*0.001</f>
        <v>0</v>
      </c>
      <c r="L65" s="723">
        <f t="shared" si="6"/>
        <v>0</v>
      </c>
      <c r="M65" s="688">
        <f t="shared" si="9"/>
        <v>0</v>
      </c>
      <c r="N65" s="724">
        <f t="shared" si="10"/>
        <v>0</v>
      </c>
    </row>
    <row r="66" spans="1:22" x14ac:dyDescent="0.35">
      <c r="A66" s="698"/>
      <c r="B66" s="676"/>
      <c r="C66" s="677">
        <f t="shared" si="7"/>
        <v>0</v>
      </c>
      <c r="D66" s="677">
        <f>'Emission Factors'!$B$69*C66</f>
        <v>0</v>
      </c>
      <c r="E66" s="677">
        <f>'Emission Factors'!$C$69*D66*0.001</f>
        <v>0</v>
      </c>
      <c r="F66" s="677">
        <f>'Emission Factors'!$D$69*D66*0.001</f>
        <v>0</v>
      </c>
      <c r="G66" s="677">
        <f>'Emission Factors'!$E$69*D66*0.001</f>
        <v>0</v>
      </c>
      <c r="H66" s="678">
        <f t="shared" si="8"/>
        <v>0</v>
      </c>
      <c r="I66" s="679">
        <f>D66*'Emission Factors'!$G$69*0.001</f>
        <v>0</v>
      </c>
      <c r="L66" s="723">
        <f t="shared" si="6"/>
        <v>0</v>
      </c>
      <c r="M66" s="688">
        <f t="shared" si="9"/>
        <v>0</v>
      </c>
      <c r="N66" s="724">
        <f t="shared" si="10"/>
        <v>0</v>
      </c>
    </row>
    <row r="67" spans="1:22" x14ac:dyDescent="0.35">
      <c r="A67" s="698"/>
      <c r="B67" s="676"/>
      <c r="C67" s="677">
        <f t="shared" si="7"/>
        <v>0</v>
      </c>
      <c r="D67" s="677">
        <f>'Emission Factors'!$B$69*C67</f>
        <v>0</v>
      </c>
      <c r="E67" s="677">
        <f>'Emission Factors'!$C$69*D67*0.001</f>
        <v>0</v>
      </c>
      <c r="F67" s="677">
        <f>'Emission Factors'!$D$69*D67*0.001</f>
        <v>0</v>
      </c>
      <c r="G67" s="677">
        <f>'Emission Factors'!$E$69*D67*0.001</f>
        <v>0</v>
      </c>
      <c r="H67" s="678">
        <f t="shared" si="8"/>
        <v>0</v>
      </c>
      <c r="I67" s="679">
        <f>D67*'Emission Factors'!$G$69*0.001</f>
        <v>0</v>
      </c>
      <c r="L67" s="723">
        <f t="shared" si="6"/>
        <v>0</v>
      </c>
      <c r="M67" s="688">
        <f t="shared" si="9"/>
        <v>0</v>
      </c>
      <c r="N67" s="724">
        <f t="shared" si="10"/>
        <v>0</v>
      </c>
    </row>
    <row r="68" spans="1:22" x14ac:dyDescent="0.35">
      <c r="A68" s="698"/>
      <c r="B68" s="676"/>
      <c r="C68" s="677">
        <f t="shared" si="7"/>
        <v>0</v>
      </c>
      <c r="D68" s="677">
        <f>'Emission Factors'!$B$69*C68</f>
        <v>0</v>
      </c>
      <c r="E68" s="677">
        <f>'Emission Factors'!$C$69*D68*0.001</f>
        <v>0</v>
      </c>
      <c r="F68" s="677">
        <f>'Emission Factors'!$D$69*D68*0.001</f>
        <v>0</v>
      </c>
      <c r="G68" s="677">
        <f>'Emission Factors'!$E$69*D68*0.001</f>
        <v>0</v>
      </c>
      <c r="H68" s="678">
        <f t="shared" si="8"/>
        <v>0</v>
      </c>
      <c r="I68" s="679">
        <f>D68*'Emission Factors'!$G$69*0.001</f>
        <v>0</v>
      </c>
      <c r="L68" s="723">
        <f t="shared" si="6"/>
        <v>0</v>
      </c>
      <c r="M68" s="688">
        <f t="shared" si="9"/>
        <v>0</v>
      </c>
      <c r="N68" s="724">
        <f t="shared" si="10"/>
        <v>0</v>
      </c>
    </row>
    <row r="69" spans="1:22" x14ac:dyDescent="0.35">
      <c r="A69" s="698"/>
      <c r="B69" s="676"/>
      <c r="C69" s="677">
        <f t="shared" si="7"/>
        <v>0</v>
      </c>
      <c r="D69" s="677">
        <f>'Emission Factors'!$B$69*C69</f>
        <v>0</v>
      </c>
      <c r="E69" s="677">
        <f>'Emission Factors'!$C$69*D69*0.001</f>
        <v>0</v>
      </c>
      <c r="F69" s="677">
        <f>'Emission Factors'!$D$69*D69*0.001</f>
        <v>0</v>
      </c>
      <c r="G69" s="677">
        <f>'Emission Factors'!$E$69*D69*0.001</f>
        <v>0</v>
      </c>
      <c r="H69" s="678">
        <f t="shared" si="8"/>
        <v>0</v>
      </c>
      <c r="I69" s="679">
        <f>D69*'Emission Factors'!$G$69*0.001</f>
        <v>0</v>
      </c>
      <c r="L69" s="723">
        <f t="shared" si="6"/>
        <v>0</v>
      </c>
      <c r="M69" s="688">
        <f t="shared" si="9"/>
        <v>0</v>
      </c>
      <c r="N69" s="724">
        <f t="shared" si="10"/>
        <v>0</v>
      </c>
    </row>
    <row r="70" spans="1:22" x14ac:dyDescent="0.35">
      <c r="A70" s="698"/>
      <c r="B70" s="676"/>
      <c r="C70" s="677">
        <f t="shared" si="7"/>
        <v>0</v>
      </c>
      <c r="D70" s="677">
        <f>'Emission Factors'!$B$69*C70</f>
        <v>0</v>
      </c>
      <c r="E70" s="677">
        <f>'Emission Factors'!$C$69*D70*0.001</f>
        <v>0</v>
      </c>
      <c r="F70" s="677">
        <f>'Emission Factors'!$D$69*D70*0.001</f>
        <v>0</v>
      </c>
      <c r="G70" s="677">
        <f>'Emission Factors'!$E$69*D70*0.001</f>
        <v>0</v>
      </c>
      <c r="H70" s="678">
        <f t="shared" si="8"/>
        <v>0</v>
      </c>
      <c r="I70" s="679">
        <f>D70*'Emission Factors'!$G$69*0.001</f>
        <v>0</v>
      </c>
      <c r="L70" s="723">
        <f t="shared" si="6"/>
        <v>0</v>
      </c>
      <c r="M70" s="688">
        <f t="shared" si="9"/>
        <v>0</v>
      </c>
      <c r="N70" s="724">
        <f t="shared" si="10"/>
        <v>0</v>
      </c>
    </row>
    <row r="71" spans="1:22" x14ac:dyDescent="0.35">
      <c r="A71" s="698"/>
      <c r="B71" s="676"/>
      <c r="C71" s="677">
        <f t="shared" si="7"/>
        <v>0</v>
      </c>
      <c r="D71" s="677">
        <f>'Emission Factors'!$B$69*C71</f>
        <v>0</v>
      </c>
      <c r="E71" s="677">
        <f>'Emission Factors'!$C$69*D71*0.001</f>
        <v>0</v>
      </c>
      <c r="F71" s="677">
        <f>'Emission Factors'!$D$69*D71*0.001</f>
        <v>0</v>
      </c>
      <c r="G71" s="677">
        <f>'Emission Factors'!$E$69*D71*0.001</f>
        <v>0</v>
      </c>
      <c r="H71" s="678">
        <f t="shared" si="8"/>
        <v>0</v>
      </c>
      <c r="I71" s="679">
        <f>D71*'Emission Factors'!$G$69*0.001</f>
        <v>0</v>
      </c>
      <c r="L71" s="723">
        <f t="shared" si="6"/>
        <v>0</v>
      </c>
      <c r="M71" s="688">
        <f t="shared" si="9"/>
        <v>0</v>
      </c>
      <c r="N71" s="724">
        <f t="shared" si="10"/>
        <v>0</v>
      </c>
    </row>
    <row r="72" spans="1:22" ht="24" thickBot="1" x14ac:dyDescent="0.6">
      <c r="A72" s="698"/>
      <c r="B72" s="676"/>
      <c r="C72" s="677">
        <f t="shared" si="7"/>
        <v>0</v>
      </c>
      <c r="D72" s="677">
        <f>'Emission Factors'!$B$69*C72</f>
        <v>0</v>
      </c>
      <c r="E72" s="677">
        <f>'Emission Factors'!$C$69*D72*0.001</f>
        <v>0</v>
      </c>
      <c r="F72" s="677">
        <f>'Emission Factors'!$D$69*D72*0.001</f>
        <v>0</v>
      </c>
      <c r="G72" s="677">
        <f>'Emission Factors'!$E$69*D72*0.001</f>
        <v>0</v>
      </c>
      <c r="H72" s="695">
        <f t="shared" si="8"/>
        <v>0</v>
      </c>
      <c r="I72" s="679">
        <f>D72*'Emission Factors'!$G$69*0.001</f>
        <v>0</v>
      </c>
      <c r="L72" s="725">
        <f t="shared" si="6"/>
        <v>0</v>
      </c>
      <c r="M72" s="726">
        <f t="shared" si="9"/>
        <v>0</v>
      </c>
      <c r="N72" s="727">
        <f t="shared" si="10"/>
        <v>0</v>
      </c>
      <c r="O72" s="667"/>
    </row>
    <row r="73" spans="1:22" ht="24" thickBot="1" x14ac:dyDescent="0.6">
      <c r="A73" s="699" t="s">
        <v>400</v>
      </c>
      <c r="B73" s="700" t="s">
        <v>360</v>
      </c>
      <c r="G73" s="684" t="s">
        <v>1699</v>
      </c>
      <c r="H73" s="685">
        <f>SUM(H63:H72)</f>
        <v>0</v>
      </c>
      <c r="I73" s="686">
        <f>SUM(I63:I72)</f>
        <v>0</v>
      </c>
      <c r="V73" s="667"/>
    </row>
    <row r="74" spans="1:22" s="667" customFormat="1" ht="23.5" x14ac:dyDescent="0.55000000000000004">
      <c r="A74" s="682" t="s">
        <v>335</v>
      </c>
      <c r="R74" s="617"/>
      <c r="V74" s="617"/>
    </row>
    <row r="75" spans="1:22" s="667" customFormat="1" ht="24" thickBot="1" x14ac:dyDescent="0.6">
      <c r="A75" s="1474" t="s">
        <v>361</v>
      </c>
      <c r="B75" s="1475"/>
      <c r="C75" s="1476"/>
      <c r="D75" s="1461" t="s">
        <v>330</v>
      </c>
      <c r="E75" s="1462"/>
      <c r="F75" s="683"/>
      <c r="G75" s="666"/>
      <c r="H75" s="666"/>
      <c r="R75" s="617"/>
      <c r="V75" s="617"/>
    </row>
    <row r="76" spans="1:22" ht="23.5" customHeight="1" x14ac:dyDescent="0.55000000000000004">
      <c r="E76" s="668"/>
      <c r="F76" s="668"/>
      <c r="G76" s="668"/>
      <c r="H76" s="669" t="s">
        <v>39</v>
      </c>
      <c r="I76" s="670" t="s">
        <v>68</v>
      </c>
      <c r="J76" s="667"/>
      <c r="L76" s="1465" t="s">
        <v>394</v>
      </c>
      <c r="M76" s="1466"/>
      <c r="N76" s="1467"/>
    </row>
    <row r="77" spans="1:22" ht="77.25" customHeight="1" x14ac:dyDescent="0.55000000000000004">
      <c r="A77" s="697" t="s">
        <v>331</v>
      </c>
      <c r="B77" s="697" t="s">
        <v>362</v>
      </c>
      <c r="C77" s="672" t="s">
        <v>396</v>
      </c>
      <c r="D77" s="672" t="s">
        <v>334</v>
      </c>
      <c r="E77" s="672" t="s">
        <v>1696</v>
      </c>
      <c r="F77" s="672" t="s">
        <v>1697</v>
      </c>
      <c r="G77" s="672" t="s">
        <v>1698</v>
      </c>
      <c r="H77" s="673" t="s">
        <v>1696</v>
      </c>
      <c r="I77" s="674" t="s">
        <v>1696</v>
      </c>
      <c r="J77" s="667"/>
      <c r="L77" s="721" t="s">
        <v>397</v>
      </c>
      <c r="M77" s="628" t="s">
        <v>398</v>
      </c>
      <c r="N77" s="722" t="s">
        <v>399</v>
      </c>
    </row>
    <row r="78" spans="1:22" x14ac:dyDescent="0.35">
      <c r="A78" s="698"/>
      <c r="B78" s="675"/>
      <c r="C78" s="677">
        <f>(B78/'Emission Factors'!$B$88)/1000</f>
        <v>0</v>
      </c>
      <c r="D78" s="677">
        <f>'Emission Factors'!$B$69*C78</f>
        <v>0</v>
      </c>
      <c r="E78" s="677">
        <f>'Emission Factors'!$C$69*D78*0.001</f>
        <v>0</v>
      </c>
      <c r="F78" s="677">
        <f>'Emission Factors'!$D$69*D78*0.001</f>
        <v>0</v>
      </c>
      <c r="G78" s="677">
        <f>'Emission Factors'!$E$69*D78*0.001</f>
        <v>0</v>
      </c>
      <c r="H78" s="678">
        <f t="shared" ref="H78:H87" si="11">E78+F78+G78</f>
        <v>0</v>
      </c>
      <c r="I78" s="679">
        <f>D78*'Emission Factors'!$G$69*0.001</f>
        <v>0</v>
      </c>
      <c r="L78" s="723">
        <f t="shared" ref="L78:L87" si="12">C78*0.264</f>
        <v>0</v>
      </c>
      <c r="M78" s="688">
        <f>SUM(L78*35.97)</f>
        <v>0</v>
      </c>
      <c r="N78" s="724">
        <f>SUM(M78*0.002516)</f>
        <v>0</v>
      </c>
    </row>
    <row r="79" spans="1:22" x14ac:dyDescent="0.35">
      <c r="A79" s="698"/>
      <c r="B79" s="675"/>
      <c r="C79" s="677">
        <f>(B79/'Emission Factors'!$B$88)/1000</f>
        <v>0</v>
      </c>
      <c r="D79" s="677">
        <f>'Emission Factors'!$B$69*C79</f>
        <v>0</v>
      </c>
      <c r="E79" s="677">
        <f>'Emission Factors'!$C$69*D79*0.001</f>
        <v>0</v>
      </c>
      <c r="F79" s="677">
        <f>'Emission Factors'!$D$69*D79*0.001</f>
        <v>0</v>
      </c>
      <c r="G79" s="677">
        <f>'Emission Factors'!$E$69*D79*0.001</f>
        <v>0</v>
      </c>
      <c r="H79" s="678">
        <f t="shared" si="11"/>
        <v>0</v>
      </c>
      <c r="I79" s="679">
        <f>D79*'Emission Factors'!$G$69*0.001</f>
        <v>0</v>
      </c>
      <c r="L79" s="723">
        <f t="shared" si="12"/>
        <v>0</v>
      </c>
      <c r="M79" s="688">
        <f>SUM(L79*35.97)</f>
        <v>0</v>
      </c>
      <c r="N79" s="724">
        <f t="shared" ref="N79:N87" si="13">SUM(M79*0.002516)</f>
        <v>0</v>
      </c>
    </row>
    <row r="80" spans="1:22" x14ac:dyDescent="0.35">
      <c r="A80" s="698"/>
      <c r="B80" s="675"/>
      <c r="C80" s="677">
        <f>(B80/'Emission Factors'!$B$88)/1000</f>
        <v>0</v>
      </c>
      <c r="D80" s="677">
        <f>'Emission Factors'!$B$69*C80</f>
        <v>0</v>
      </c>
      <c r="E80" s="677">
        <f>'Emission Factors'!$C$69*D80*0.001</f>
        <v>0</v>
      </c>
      <c r="F80" s="677">
        <f>'Emission Factors'!$D$69*D80*0.001</f>
        <v>0</v>
      </c>
      <c r="G80" s="677">
        <f>'Emission Factors'!$E$69*D80*0.001</f>
        <v>0</v>
      </c>
      <c r="H80" s="678">
        <f t="shared" si="11"/>
        <v>0</v>
      </c>
      <c r="I80" s="679">
        <f>D80*'Emission Factors'!$G$69*0.001</f>
        <v>0</v>
      </c>
      <c r="L80" s="723">
        <f t="shared" si="12"/>
        <v>0</v>
      </c>
      <c r="M80" s="688">
        <f t="shared" ref="M80:M87" si="14">SUM(L80*35.97)</f>
        <v>0</v>
      </c>
      <c r="N80" s="724">
        <f t="shared" si="13"/>
        <v>0</v>
      </c>
    </row>
    <row r="81" spans="1:22" x14ac:dyDescent="0.35">
      <c r="A81" s="698"/>
      <c r="B81" s="675"/>
      <c r="C81" s="677">
        <f>(B81/'Emission Factors'!$B$88)/1000</f>
        <v>0</v>
      </c>
      <c r="D81" s="677">
        <f>'Emission Factors'!$B$69*C81</f>
        <v>0</v>
      </c>
      <c r="E81" s="677">
        <f>'Emission Factors'!$C$69*D81*0.001</f>
        <v>0</v>
      </c>
      <c r="F81" s="677">
        <f>'Emission Factors'!$D$69*D81*0.001</f>
        <v>0</v>
      </c>
      <c r="G81" s="677">
        <f>'Emission Factors'!$E$69*D81*0.001</f>
        <v>0</v>
      </c>
      <c r="H81" s="678">
        <f t="shared" si="11"/>
        <v>0</v>
      </c>
      <c r="I81" s="679">
        <f>D81*'Emission Factors'!$G$69*0.001</f>
        <v>0</v>
      </c>
      <c r="L81" s="723">
        <f t="shared" si="12"/>
        <v>0</v>
      </c>
      <c r="M81" s="688">
        <f t="shared" si="14"/>
        <v>0</v>
      </c>
      <c r="N81" s="724">
        <f t="shared" si="13"/>
        <v>0</v>
      </c>
    </row>
    <row r="82" spans="1:22" x14ac:dyDescent="0.35">
      <c r="A82" s="698"/>
      <c r="B82" s="675"/>
      <c r="C82" s="677">
        <f>(B82/'Emission Factors'!$B$88)/1000</f>
        <v>0</v>
      </c>
      <c r="D82" s="677">
        <f>'Emission Factors'!$B$69*C82</f>
        <v>0</v>
      </c>
      <c r="E82" s="677">
        <f>'Emission Factors'!$C$69*D82*0.001</f>
        <v>0</v>
      </c>
      <c r="F82" s="677">
        <f>'Emission Factors'!$D$69*D82*0.001</f>
        <v>0</v>
      </c>
      <c r="G82" s="677">
        <f>'Emission Factors'!$E$69*D82*0.001</f>
        <v>0</v>
      </c>
      <c r="H82" s="678">
        <f t="shared" si="11"/>
        <v>0</v>
      </c>
      <c r="I82" s="679">
        <f>D82*'Emission Factors'!$G$69*0.001</f>
        <v>0</v>
      </c>
      <c r="L82" s="723">
        <f t="shared" si="12"/>
        <v>0</v>
      </c>
      <c r="M82" s="688">
        <f t="shared" si="14"/>
        <v>0</v>
      </c>
      <c r="N82" s="724">
        <f t="shared" si="13"/>
        <v>0</v>
      </c>
    </row>
    <row r="83" spans="1:22" x14ac:dyDescent="0.35">
      <c r="A83" s="698"/>
      <c r="B83" s="675"/>
      <c r="C83" s="677">
        <f>(B83/'Emission Factors'!$B$88)/1000</f>
        <v>0</v>
      </c>
      <c r="D83" s="677">
        <f>'Emission Factors'!$B$69*C83</f>
        <v>0</v>
      </c>
      <c r="E83" s="677">
        <f>'Emission Factors'!$C$69*D83*0.001</f>
        <v>0</v>
      </c>
      <c r="F83" s="677">
        <f>'Emission Factors'!$D$69*D83*0.001</f>
        <v>0</v>
      </c>
      <c r="G83" s="677">
        <f>'Emission Factors'!$E$69*D83*0.001</f>
        <v>0</v>
      </c>
      <c r="H83" s="678">
        <f t="shared" si="11"/>
        <v>0</v>
      </c>
      <c r="I83" s="679">
        <f>D83*'Emission Factors'!$G$69*0.001</f>
        <v>0</v>
      </c>
      <c r="L83" s="723">
        <f t="shared" si="12"/>
        <v>0</v>
      </c>
      <c r="M83" s="688">
        <f t="shared" si="14"/>
        <v>0</v>
      </c>
      <c r="N83" s="724">
        <f t="shared" si="13"/>
        <v>0</v>
      </c>
    </row>
    <row r="84" spans="1:22" x14ac:dyDescent="0.35">
      <c r="A84" s="698"/>
      <c r="B84" s="675"/>
      <c r="C84" s="677">
        <f>(B84/'Emission Factors'!$B$88)/1000</f>
        <v>0</v>
      </c>
      <c r="D84" s="677">
        <f>'Emission Factors'!$B$69*C84</f>
        <v>0</v>
      </c>
      <c r="E84" s="677">
        <f>'Emission Factors'!$C$69*D84*0.001</f>
        <v>0</v>
      </c>
      <c r="F84" s="677">
        <f>'Emission Factors'!$D$69*D84*0.001</f>
        <v>0</v>
      </c>
      <c r="G84" s="677">
        <f>'Emission Factors'!$E$69*D84*0.001</f>
        <v>0</v>
      </c>
      <c r="H84" s="678">
        <f t="shared" si="11"/>
        <v>0</v>
      </c>
      <c r="I84" s="679">
        <f>D84*'Emission Factors'!$G$69*0.001</f>
        <v>0</v>
      </c>
      <c r="L84" s="723">
        <f t="shared" si="12"/>
        <v>0</v>
      </c>
      <c r="M84" s="688">
        <f t="shared" si="14"/>
        <v>0</v>
      </c>
      <c r="N84" s="724">
        <f t="shared" si="13"/>
        <v>0</v>
      </c>
    </row>
    <row r="85" spans="1:22" x14ac:dyDescent="0.35">
      <c r="A85" s="698"/>
      <c r="B85" s="675"/>
      <c r="C85" s="677">
        <f>(B85/'Emission Factors'!$B$88)/1000</f>
        <v>0</v>
      </c>
      <c r="D85" s="677">
        <f>'Emission Factors'!$B$69*C85</f>
        <v>0</v>
      </c>
      <c r="E85" s="677">
        <f>'Emission Factors'!$C$69*D85*0.001</f>
        <v>0</v>
      </c>
      <c r="F85" s="677">
        <f>'Emission Factors'!$D$69*D85*0.001</f>
        <v>0</v>
      </c>
      <c r="G85" s="677">
        <f>'Emission Factors'!$E$69*D85*0.001</f>
        <v>0</v>
      </c>
      <c r="H85" s="678">
        <f t="shared" si="11"/>
        <v>0</v>
      </c>
      <c r="I85" s="679">
        <f>D85*'Emission Factors'!$G$69*0.001</f>
        <v>0</v>
      </c>
      <c r="L85" s="723">
        <f t="shared" si="12"/>
        <v>0</v>
      </c>
      <c r="M85" s="688">
        <f t="shared" si="14"/>
        <v>0</v>
      </c>
      <c r="N85" s="724">
        <f t="shared" si="13"/>
        <v>0</v>
      </c>
    </row>
    <row r="86" spans="1:22" x14ac:dyDescent="0.35">
      <c r="A86" s="698"/>
      <c r="B86" s="675"/>
      <c r="C86" s="677">
        <f>(B86/'Emission Factors'!$B$88)/1000</f>
        <v>0</v>
      </c>
      <c r="D86" s="677">
        <f>'Emission Factors'!$B$69*C86</f>
        <v>0</v>
      </c>
      <c r="E86" s="677">
        <f>'Emission Factors'!$C$69*D86*0.001</f>
        <v>0</v>
      </c>
      <c r="F86" s="677">
        <f>'Emission Factors'!$D$69*D86*0.001</f>
        <v>0</v>
      </c>
      <c r="G86" s="677">
        <f>'Emission Factors'!$E$69*D86*0.001</f>
        <v>0</v>
      </c>
      <c r="H86" s="678">
        <f t="shared" si="11"/>
        <v>0</v>
      </c>
      <c r="I86" s="679">
        <f>D86*'Emission Factors'!$G$69*0.001</f>
        <v>0</v>
      </c>
      <c r="L86" s="723">
        <f t="shared" si="12"/>
        <v>0</v>
      </c>
      <c r="M86" s="688">
        <f t="shared" si="14"/>
        <v>0</v>
      </c>
      <c r="N86" s="724">
        <f t="shared" si="13"/>
        <v>0</v>
      </c>
    </row>
    <row r="87" spans="1:22" ht="16" thickBot="1" x14ac:dyDescent="0.4">
      <c r="A87" s="698"/>
      <c r="B87" s="675"/>
      <c r="C87" s="677">
        <f>(B87/'Emission Factors'!$B$88)/1000</f>
        <v>0</v>
      </c>
      <c r="D87" s="677">
        <f>'Emission Factors'!$B$69*C87</f>
        <v>0</v>
      </c>
      <c r="E87" s="677">
        <f>'Emission Factors'!$C$69*D87*0.001</f>
        <v>0</v>
      </c>
      <c r="F87" s="677">
        <f>'Emission Factors'!$D$69*D87*0.001</f>
        <v>0</v>
      </c>
      <c r="G87" s="677">
        <f>'Emission Factors'!$E$69*D87*0.001</f>
        <v>0</v>
      </c>
      <c r="H87" s="695">
        <f t="shared" si="11"/>
        <v>0</v>
      </c>
      <c r="I87" s="679">
        <f>D87*'Emission Factors'!$G$69*0.001</f>
        <v>0</v>
      </c>
      <c r="L87" s="725">
        <f t="shared" si="12"/>
        <v>0</v>
      </c>
      <c r="M87" s="726">
        <f t="shared" si="14"/>
        <v>0</v>
      </c>
      <c r="N87" s="727">
        <f t="shared" si="13"/>
        <v>0</v>
      </c>
    </row>
    <row r="88" spans="1:22" ht="16" thickBot="1" x14ac:dyDescent="0.4">
      <c r="A88" s="693"/>
      <c r="G88" s="684" t="s">
        <v>1699</v>
      </c>
      <c r="H88" s="685">
        <f>SUM(H78:H87)</f>
        <v>0</v>
      </c>
      <c r="I88" s="686">
        <f>SUM(I78:I87)</f>
        <v>0</v>
      </c>
    </row>
    <row r="89" spans="1:22" ht="36" x14ac:dyDescent="0.8">
      <c r="V89" s="664"/>
    </row>
    <row r="90" spans="1:22" s="664" customFormat="1" ht="36" x14ac:dyDescent="0.8">
      <c r="A90" s="1463" t="s">
        <v>401</v>
      </c>
      <c r="B90" s="1464"/>
      <c r="C90" s="1464"/>
      <c r="D90" s="1464"/>
      <c r="E90" s="1464"/>
      <c r="F90" s="1464"/>
      <c r="G90" s="1464"/>
      <c r="H90" s="1464"/>
      <c r="I90" s="1464"/>
      <c r="J90" s="1464"/>
      <c r="K90" s="1464"/>
      <c r="L90" s="1464"/>
      <c r="M90" s="1464"/>
      <c r="N90" s="1464"/>
      <c r="O90" s="1464"/>
      <c r="P90" s="1464"/>
      <c r="Q90" s="1464"/>
      <c r="R90" s="617"/>
      <c r="S90" s="617"/>
      <c r="T90" s="617"/>
      <c r="U90" s="617"/>
      <c r="V90" s="666"/>
    </row>
    <row r="91" spans="1:22" s="667" customFormat="1" ht="36.65" customHeight="1" thickBot="1" x14ac:dyDescent="0.85">
      <c r="A91" s="1474" t="s">
        <v>402</v>
      </c>
      <c r="B91" s="1475"/>
      <c r="C91" s="1476"/>
      <c r="D91" s="1461" t="s">
        <v>330</v>
      </c>
      <c r="E91" s="1462"/>
      <c r="F91" s="683"/>
      <c r="G91" s="666"/>
      <c r="H91" s="666"/>
      <c r="I91" s="666"/>
      <c r="J91" s="666"/>
      <c r="K91" s="666"/>
      <c r="L91" s="666"/>
      <c r="M91" s="666"/>
      <c r="N91" s="666"/>
      <c r="O91" s="691"/>
      <c r="Q91" s="691"/>
      <c r="R91" s="617"/>
      <c r="S91" s="664"/>
      <c r="T91" s="664"/>
      <c r="U91" s="664"/>
      <c r="V91" s="617"/>
    </row>
    <row r="92" spans="1:22" ht="36" customHeight="1" x14ac:dyDescent="0.8">
      <c r="E92" s="668"/>
      <c r="F92" s="668"/>
      <c r="G92" s="668"/>
      <c r="H92" s="669" t="s">
        <v>39</v>
      </c>
      <c r="I92" s="670" t="s">
        <v>68</v>
      </c>
      <c r="K92" s="664"/>
      <c r="L92" s="1465" t="s">
        <v>394</v>
      </c>
      <c r="M92" s="1466"/>
      <c r="N92" s="1467"/>
    </row>
    <row r="93" spans="1:22" ht="31" x14ac:dyDescent="0.55000000000000004">
      <c r="A93" s="697" t="s">
        <v>331</v>
      </c>
      <c r="B93" s="672" t="s">
        <v>395</v>
      </c>
      <c r="C93" s="672" t="s">
        <v>396</v>
      </c>
      <c r="D93" s="672" t="s">
        <v>334</v>
      </c>
      <c r="E93" s="672" t="s">
        <v>1696</v>
      </c>
      <c r="F93" s="672" t="s">
        <v>1697</v>
      </c>
      <c r="G93" s="672" t="s">
        <v>1698</v>
      </c>
      <c r="H93" s="673" t="s">
        <v>1696</v>
      </c>
      <c r="I93" s="674" t="s">
        <v>1696</v>
      </c>
      <c r="K93" s="667"/>
      <c r="L93" s="721" t="s">
        <v>397</v>
      </c>
      <c r="M93" s="628" t="s">
        <v>398</v>
      </c>
      <c r="N93" s="722" t="s">
        <v>399</v>
      </c>
    </row>
    <row r="94" spans="1:22" x14ac:dyDescent="0.35">
      <c r="A94" s="698"/>
      <c r="B94" s="676"/>
      <c r="C94" s="677">
        <f>B94/1000</f>
        <v>0</v>
      </c>
      <c r="D94" s="677">
        <f>'Emission Factors'!$B$65*$C94</f>
        <v>0</v>
      </c>
      <c r="E94" s="677">
        <f>'Emission Factors'!$C$65*$D94*0.001</f>
        <v>0</v>
      </c>
      <c r="F94" s="677">
        <f>'Emission Factors'!$D$65*$D94*0.001</f>
        <v>0</v>
      </c>
      <c r="G94" s="677">
        <f>'Emission Factors'!$E$65*$D94*0.001</f>
        <v>0</v>
      </c>
      <c r="H94" s="678">
        <f t="shared" ref="H94:H103" si="15">E94+F94+G94</f>
        <v>0</v>
      </c>
      <c r="I94" s="679">
        <f>D94*'Emission Factors'!$G$65*0.001</f>
        <v>0</v>
      </c>
      <c r="L94" s="723">
        <f t="shared" ref="L94:L103" si="16">B94*0.264</f>
        <v>0</v>
      </c>
      <c r="M94" s="688">
        <f>SUM(L94*35.97)</f>
        <v>0</v>
      </c>
      <c r="N94" s="724">
        <f>SUM(M94*0.002516)</f>
        <v>0</v>
      </c>
    </row>
    <row r="95" spans="1:22" x14ac:dyDescent="0.35">
      <c r="A95" s="698"/>
      <c r="B95" s="676"/>
      <c r="C95" s="677">
        <f t="shared" ref="C95:C103" si="17">B95/1000</f>
        <v>0</v>
      </c>
      <c r="D95" s="677">
        <f>'Emission Factors'!$B$65*C95</f>
        <v>0</v>
      </c>
      <c r="E95" s="677">
        <f>'Emission Factors'!$C$65*$D95*0.001</f>
        <v>0</v>
      </c>
      <c r="F95" s="677">
        <f>'Emission Factors'!$D$65*$D95*0.001</f>
        <v>0</v>
      </c>
      <c r="G95" s="677">
        <f>'Emission Factors'!$E$65*$D95*0.001</f>
        <v>0</v>
      </c>
      <c r="H95" s="678">
        <f t="shared" si="15"/>
        <v>0</v>
      </c>
      <c r="I95" s="679">
        <f>D95*'Emission Factors'!$G$65*0.001</f>
        <v>0</v>
      </c>
      <c r="L95" s="723">
        <f t="shared" si="16"/>
        <v>0</v>
      </c>
      <c r="M95" s="688">
        <f t="shared" ref="M95:M103" si="18">SUM(L95*35.97)</f>
        <v>0</v>
      </c>
      <c r="N95" s="724">
        <f t="shared" ref="N95:N103" si="19">SUM(M95*0.002516)</f>
        <v>0</v>
      </c>
    </row>
    <row r="96" spans="1:22" x14ac:dyDescent="0.35">
      <c r="A96" s="698"/>
      <c r="B96" s="676"/>
      <c r="C96" s="677">
        <f t="shared" si="17"/>
        <v>0</v>
      </c>
      <c r="D96" s="677">
        <f>'Emission Factors'!$B$65*C96</f>
        <v>0</v>
      </c>
      <c r="E96" s="677">
        <f>'Emission Factors'!$C$65*$D96*0.001</f>
        <v>0</v>
      </c>
      <c r="F96" s="677">
        <f>'Emission Factors'!$D$65*$D96*0.001</f>
        <v>0</v>
      </c>
      <c r="G96" s="677">
        <f>'Emission Factors'!$E$65*$D96*0.001</f>
        <v>0</v>
      </c>
      <c r="H96" s="678">
        <f t="shared" si="15"/>
        <v>0</v>
      </c>
      <c r="I96" s="679">
        <f>D96*'Emission Factors'!$G$65*0.001</f>
        <v>0</v>
      </c>
      <c r="L96" s="723">
        <f t="shared" si="16"/>
        <v>0</v>
      </c>
      <c r="M96" s="688">
        <f t="shared" si="18"/>
        <v>0</v>
      </c>
      <c r="N96" s="724">
        <f t="shared" si="19"/>
        <v>0</v>
      </c>
    </row>
    <row r="97" spans="1:22" x14ac:dyDescent="0.35">
      <c r="A97" s="698"/>
      <c r="B97" s="676"/>
      <c r="C97" s="677">
        <f t="shared" si="17"/>
        <v>0</v>
      </c>
      <c r="D97" s="677">
        <f>'Emission Factors'!$B$65*C97</f>
        <v>0</v>
      </c>
      <c r="E97" s="677">
        <f>'Emission Factors'!$C$65*$D97*0.001</f>
        <v>0</v>
      </c>
      <c r="F97" s="677">
        <f>'Emission Factors'!$D$65*$D97*0.001</f>
        <v>0</v>
      </c>
      <c r="G97" s="677">
        <f>'Emission Factors'!$E$65*$D97*0.001</f>
        <v>0</v>
      </c>
      <c r="H97" s="678">
        <f t="shared" si="15"/>
        <v>0</v>
      </c>
      <c r="I97" s="679">
        <f>D97*'Emission Factors'!$G$65*0.001</f>
        <v>0</v>
      </c>
      <c r="L97" s="723">
        <f t="shared" si="16"/>
        <v>0</v>
      </c>
      <c r="M97" s="688">
        <f t="shared" si="18"/>
        <v>0</v>
      </c>
      <c r="N97" s="724">
        <f t="shared" si="19"/>
        <v>0</v>
      </c>
    </row>
    <row r="98" spans="1:22" x14ac:dyDescent="0.35">
      <c r="A98" s="698"/>
      <c r="B98" s="676"/>
      <c r="C98" s="677">
        <f t="shared" si="17"/>
        <v>0</v>
      </c>
      <c r="D98" s="677">
        <f>'Emission Factors'!$B$65*C98</f>
        <v>0</v>
      </c>
      <c r="E98" s="677">
        <f>'Emission Factors'!$C$65*$D98*0.001</f>
        <v>0</v>
      </c>
      <c r="F98" s="677">
        <f>'Emission Factors'!$D$65*$D98*0.001</f>
        <v>0</v>
      </c>
      <c r="G98" s="677">
        <f>'Emission Factors'!$E$65*$D98*0.001</f>
        <v>0</v>
      </c>
      <c r="H98" s="678">
        <f t="shared" si="15"/>
        <v>0</v>
      </c>
      <c r="I98" s="679">
        <f>D98*'Emission Factors'!$G$65*0.001</f>
        <v>0</v>
      </c>
      <c r="L98" s="723">
        <f t="shared" si="16"/>
        <v>0</v>
      </c>
      <c r="M98" s="688">
        <f t="shared" si="18"/>
        <v>0</v>
      </c>
      <c r="N98" s="724">
        <f t="shared" si="19"/>
        <v>0</v>
      </c>
    </row>
    <row r="99" spans="1:22" x14ac:dyDescent="0.35">
      <c r="A99" s="698"/>
      <c r="B99" s="676"/>
      <c r="C99" s="677">
        <f t="shared" si="17"/>
        <v>0</v>
      </c>
      <c r="D99" s="677">
        <f>'Emission Factors'!$B$65*C99</f>
        <v>0</v>
      </c>
      <c r="E99" s="677">
        <f>'Emission Factors'!$C$65*$D99*0.001</f>
        <v>0</v>
      </c>
      <c r="F99" s="677">
        <f>'Emission Factors'!$D$65*$D99*0.001</f>
        <v>0</v>
      </c>
      <c r="G99" s="677">
        <f>'Emission Factors'!$E$65*$D99*0.001</f>
        <v>0</v>
      </c>
      <c r="H99" s="678">
        <f t="shared" si="15"/>
        <v>0</v>
      </c>
      <c r="I99" s="679">
        <f>D99*'Emission Factors'!$G$65*0.001</f>
        <v>0</v>
      </c>
      <c r="L99" s="723">
        <f t="shared" si="16"/>
        <v>0</v>
      </c>
      <c r="M99" s="688">
        <f t="shared" si="18"/>
        <v>0</v>
      </c>
      <c r="N99" s="724">
        <f t="shared" si="19"/>
        <v>0</v>
      </c>
    </row>
    <row r="100" spans="1:22" x14ac:dyDescent="0.35">
      <c r="A100" s="698"/>
      <c r="B100" s="676"/>
      <c r="C100" s="677">
        <f t="shared" si="17"/>
        <v>0</v>
      </c>
      <c r="D100" s="677">
        <f>'Emission Factors'!$B$65*C100</f>
        <v>0</v>
      </c>
      <c r="E100" s="677">
        <f>'Emission Factors'!$C$65*$D100*0.001</f>
        <v>0</v>
      </c>
      <c r="F100" s="677">
        <f>'Emission Factors'!$D$65*$D100*0.001</f>
        <v>0</v>
      </c>
      <c r="G100" s="677">
        <f>'Emission Factors'!$E$65*$D100*0.001</f>
        <v>0</v>
      </c>
      <c r="H100" s="678">
        <f t="shared" si="15"/>
        <v>0</v>
      </c>
      <c r="I100" s="679">
        <f>D100*'Emission Factors'!$G$65*0.001</f>
        <v>0</v>
      </c>
      <c r="L100" s="723">
        <f t="shared" si="16"/>
        <v>0</v>
      </c>
      <c r="M100" s="688">
        <f t="shared" si="18"/>
        <v>0</v>
      </c>
      <c r="N100" s="724">
        <f t="shared" si="19"/>
        <v>0</v>
      </c>
    </row>
    <row r="101" spans="1:22" x14ac:dyDescent="0.35">
      <c r="A101" s="698"/>
      <c r="B101" s="676"/>
      <c r="C101" s="677">
        <f t="shared" si="17"/>
        <v>0</v>
      </c>
      <c r="D101" s="677">
        <f>'Emission Factors'!$B$65*C101</f>
        <v>0</v>
      </c>
      <c r="E101" s="677">
        <f>'Emission Factors'!$C$65*$D101*0.001</f>
        <v>0</v>
      </c>
      <c r="F101" s="677">
        <f>'Emission Factors'!$D$65*$D101*0.001</f>
        <v>0</v>
      </c>
      <c r="G101" s="677">
        <f>'Emission Factors'!$E$65*$D101*0.001</f>
        <v>0</v>
      </c>
      <c r="H101" s="678">
        <f t="shared" si="15"/>
        <v>0</v>
      </c>
      <c r="I101" s="679">
        <f>D101*'Emission Factors'!$G$65*0.001</f>
        <v>0</v>
      </c>
      <c r="L101" s="723">
        <f t="shared" si="16"/>
        <v>0</v>
      </c>
      <c r="M101" s="688">
        <f t="shared" si="18"/>
        <v>0</v>
      </c>
      <c r="N101" s="724">
        <f t="shared" si="19"/>
        <v>0</v>
      </c>
    </row>
    <row r="102" spans="1:22" x14ac:dyDescent="0.35">
      <c r="A102" s="698"/>
      <c r="B102" s="676"/>
      <c r="C102" s="677">
        <f t="shared" si="17"/>
        <v>0</v>
      </c>
      <c r="D102" s="677">
        <f>'Emission Factors'!$B$65*C102</f>
        <v>0</v>
      </c>
      <c r="E102" s="677">
        <f>'Emission Factors'!$C$65*$D102*0.001</f>
        <v>0</v>
      </c>
      <c r="F102" s="677">
        <f>'Emission Factors'!$D$65*$D102*0.001</f>
        <v>0</v>
      </c>
      <c r="G102" s="677">
        <f>'Emission Factors'!$E$65*$D102*0.001</f>
        <v>0</v>
      </c>
      <c r="H102" s="678">
        <f t="shared" si="15"/>
        <v>0</v>
      </c>
      <c r="I102" s="679">
        <f>D102*'Emission Factors'!$G$65*0.001</f>
        <v>0</v>
      </c>
      <c r="L102" s="723">
        <f t="shared" si="16"/>
        <v>0</v>
      </c>
      <c r="M102" s="688">
        <f t="shared" si="18"/>
        <v>0</v>
      </c>
      <c r="N102" s="724">
        <f t="shared" si="19"/>
        <v>0</v>
      </c>
    </row>
    <row r="103" spans="1:22" ht="24" thickBot="1" x14ac:dyDescent="0.6">
      <c r="A103" s="698"/>
      <c r="B103" s="676"/>
      <c r="C103" s="677">
        <f t="shared" si="17"/>
        <v>0</v>
      </c>
      <c r="D103" s="677">
        <f>'Emission Factors'!$B$65*C103</f>
        <v>0</v>
      </c>
      <c r="E103" s="677">
        <f>'Emission Factors'!$C$65*$D103*0.001</f>
        <v>0</v>
      </c>
      <c r="F103" s="677">
        <f>'Emission Factors'!$D$65*$D103*0.001</f>
        <v>0</v>
      </c>
      <c r="G103" s="677">
        <f>'Emission Factors'!$E$65*$D103*0.001</f>
        <v>0</v>
      </c>
      <c r="H103" s="695">
        <f t="shared" si="15"/>
        <v>0</v>
      </c>
      <c r="I103" s="679">
        <f>D103*'Emission Factors'!$G$65*0.001</f>
        <v>0</v>
      </c>
      <c r="L103" s="725">
        <f t="shared" si="16"/>
        <v>0</v>
      </c>
      <c r="M103" s="726">
        <f t="shared" si="18"/>
        <v>0</v>
      </c>
      <c r="N103" s="727">
        <f t="shared" si="19"/>
        <v>0</v>
      </c>
      <c r="O103" s="667"/>
    </row>
    <row r="104" spans="1:22" s="667" customFormat="1" ht="24" thickBot="1" x14ac:dyDescent="0.6">
      <c r="A104" s="682" t="s">
        <v>335</v>
      </c>
      <c r="G104" s="684" t="s">
        <v>1699</v>
      </c>
      <c r="H104" s="685">
        <f>SUM(H94:H103)</f>
        <v>0</v>
      </c>
      <c r="I104" s="686">
        <f>SUM(I94:I103)</f>
        <v>0</v>
      </c>
      <c r="R104" s="617"/>
    </row>
    <row r="105" spans="1:22" s="667" customFormat="1" ht="24" customHeight="1" thickBot="1" x14ac:dyDescent="0.6">
      <c r="A105" s="1474" t="s">
        <v>402</v>
      </c>
      <c r="B105" s="1475"/>
      <c r="C105" s="1476"/>
      <c r="D105" s="1461" t="s">
        <v>330</v>
      </c>
      <c r="E105" s="1462"/>
      <c r="F105" s="683"/>
      <c r="G105" s="666"/>
      <c r="H105" s="666"/>
      <c r="R105" s="617"/>
      <c r="V105" s="617"/>
    </row>
    <row r="106" spans="1:22" ht="23.5" customHeight="1" x14ac:dyDescent="0.55000000000000004">
      <c r="E106" s="668"/>
      <c r="F106" s="668"/>
      <c r="G106" s="668"/>
      <c r="H106" s="669" t="s">
        <v>39</v>
      </c>
      <c r="I106" s="670" t="s">
        <v>68</v>
      </c>
      <c r="J106" s="667"/>
      <c r="L106" s="1465" t="s">
        <v>394</v>
      </c>
      <c r="M106" s="1466"/>
      <c r="N106" s="1467"/>
    </row>
    <row r="107" spans="1:22" ht="72" customHeight="1" x14ac:dyDescent="0.55000000000000004">
      <c r="A107" s="697" t="s">
        <v>331</v>
      </c>
      <c r="B107" s="697" t="s">
        <v>362</v>
      </c>
      <c r="C107" s="672" t="s">
        <v>396</v>
      </c>
      <c r="D107" s="672" t="s">
        <v>334</v>
      </c>
      <c r="E107" s="672" t="s">
        <v>1696</v>
      </c>
      <c r="F107" s="672" t="s">
        <v>1697</v>
      </c>
      <c r="G107" s="672" t="s">
        <v>1698</v>
      </c>
      <c r="H107" s="673" t="s">
        <v>1696</v>
      </c>
      <c r="I107" s="674" t="s">
        <v>1696</v>
      </c>
      <c r="J107" s="667"/>
      <c r="L107" s="721" t="s">
        <v>397</v>
      </c>
      <c r="M107" s="628" t="s">
        <v>398</v>
      </c>
      <c r="N107" s="722" t="s">
        <v>399</v>
      </c>
    </row>
    <row r="108" spans="1:22" x14ac:dyDescent="0.35">
      <c r="A108" s="698"/>
      <c r="B108" s="675"/>
      <c r="C108" s="677">
        <f>(B108/'Emission Factors'!$B$87)/1000</f>
        <v>0</v>
      </c>
      <c r="D108" s="677">
        <f>C108*'Emission Factors'!$B$65</f>
        <v>0</v>
      </c>
      <c r="E108" s="677">
        <f>'Emission Factors'!$C$65*$D108*0.001</f>
        <v>0</v>
      </c>
      <c r="F108" s="677">
        <f>'Emission Factors'!$D$65*$D108*0.001</f>
        <v>0</v>
      </c>
      <c r="G108" s="677">
        <f>'Emission Factors'!$E$65*$D108*0.001</f>
        <v>0</v>
      </c>
      <c r="H108" s="678">
        <f t="shared" ref="H108:H117" si="20">E108+F108+G108</f>
        <v>0</v>
      </c>
      <c r="I108" s="679">
        <f>D108*'Emission Factors'!$G$65*0.001</f>
        <v>0</v>
      </c>
      <c r="L108" s="723">
        <f t="shared" ref="L108:L117" si="21">B108*0.264</f>
        <v>0</v>
      </c>
      <c r="M108" s="688">
        <f>SUM(L108*35.97)</f>
        <v>0</v>
      </c>
      <c r="N108" s="724">
        <f>SUM(M108*0.002516)</f>
        <v>0</v>
      </c>
    </row>
    <row r="109" spans="1:22" x14ac:dyDescent="0.35">
      <c r="A109" s="698"/>
      <c r="B109" s="675"/>
      <c r="C109" s="677">
        <f>(B109/'Emission Factors'!$B$87)/1000</f>
        <v>0</v>
      </c>
      <c r="D109" s="677">
        <f>C109*'Emission Factors'!$B$65</f>
        <v>0</v>
      </c>
      <c r="E109" s="677">
        <f>'Emission Factors'!$C$65*$D109*0.001</f>
        <v>0</v>
      </c>
      <c r="F109" s="677">
        <f>'Emission Factors'!$D$65*$D109*0.001</f>
        <v>0</v>
      </c>
      <c r="G109" s="677">
        <f>'Emission Factors'!$E$65*$D109*0.001</f>
        <v>0</v>
      </c>
      <c r="H109" s="678">
        <f t="shared" si="20"/>
        <v>0</v>
      </c>
      <c r="I109" s="679">
        <f>D109*'Emission Factors'!$G$65*0.001</f>
        <v>0</v>
      </c>
      <c r="L109" s="723">
        <f t="shared" si="21"/>
        <v>0</v>
      </c>
      <c r="M109" s="688">
        <f t="shared" ref="M109:M117" si="22">SUM(L109*35.97)</f>
        <v>0</v>
      </c>
      <c r="N109" s="724">
        <f t="shared" ref="N109:N117" si="23">SUM(M109*0.002516)</f>
        <v>0</v>
      </c>
    </row>
    <row r="110" spans="1:22" x14ac:dyDescent="0.35">
      <c r="A110" s="698"/>
      <c r="B110" s="675"/>
      <c r="C110" s="677">
        <f>(B110/'Emission Factors'!$B$87)/1000</f>
        <v>0</v>
      </c>
      <c r="D110" s="677">
        <f>C110*'Emission Factors'!$B$65</f>
        <v>0</v>
      </c>
      <c r="E110" s="677">
        <f>'Emission Factors'!$C$65*$D110*0.001</f>
        <v>0</v>
      </c>
      <c r="F110" s="677">
        <f>'Emission Factors'!$D$65*$D110*0.001</f>
        <v>0</v>
      </c>
      <c r="G110" s="677">
        <f>'Emission Factors'!$E$65*$D110*0.001</f>
        <v>0</v>
      </c>
      <c r="H110" s="678">
        <f t="shared" si="20"/>
        <v>0</v>
      </c>
      <c r="I110" s="679">
        <f>D110*'Emission Factors'!$G$65*0.001</f>
        <v>0</v>
      </c>
      <c r="L110" s="723">
        <f t="shared" si="21"/>
        <v>0</v>
      </c>
      <c r="M110" s="688">
        <f t="shared" si="22"/>
        <v>0</v>
      </c>
      <c r="N110" s="724">
        <f t="shared" si="23"/>
        <v>0</v>
      </c>
    </row>
    <row r="111" spans="1:22" x14ac:dyDescent="0.35">
      <c r="A111" s="698"/>
      <c r="B111" s="675"/>
      <c r="C111" s="677">
        <f>(B111/'Emission Factors'!$B$87)/1000</f>
        <v>0</v>
      </c>
      <c r="D111" s="677">
        <f>C111*'Emission Factors'!$B$65</f>
        <v>0</v>
      </c>
      <c r="E111" s="677">
        <f>'Emission Factors'!$C$65*$D111*0.001</f>
        <v>0</v>
      </c>
      <c r="F111" s="677">
        <f>'Emission Factors'!$D$65*$D111*0.001</f>
        <v>0</v>
      </c>
      <c r="G111" s="677">
        <f>'Emission Factors'!$E$65*$D111*0.001</f>
        <v>0</v>
      </c>
      <c r="H111" s="678">
        <f t="shared" si="20"/>
        <v>0</v>
      </c>
      <c r="I111" s="679">
        <f>D111*'Emission Factors'!$G$65*0.001</f>
        <v>0</v>
      </c>
      <c r="L111" s="723">
        <f t="shared" si="21"/>
        <v>0</v>
      </c>
      <c r="M111" s="688">
        <f t="shared" si="22"/>
        <v>0</v>
      </c>
      <c r="N111" s="724">
        <f t="shared" si="23"/>
        <v>0</v>
      </c>
    </row>
    <row r="112" spans="1:22" x14ac:dyDescent="0.35">
      <c r="A112" s="698"/>
      <c r="B112" s="675"/>
      <c r="C112" s="677">
        <f>(B112/'Emission Factors'!$B$87)/1000</f>
        <v>0</v>
      </c>
      <c r="D112" s="677">
        <f>C112*'Emission Factors'!$B$65</f>
        <v>0</v>
      </c>
      <c r="E112" s="677">
        <f>'Emission Factors'!$C$65*$D112*0.001</f>
        <v>0</v>
      </c>
      <c r="F112" s="677">
        <f>'Emission Factors'!$D$65*$D112*0.001</f>
        <v>0</v>
      </c>
      <c r="G112" s="677">
        <f>'Emission Factors'!$E$65*$D112*0.001</f>
        <v>0</v>
      </c>
      <c r="H112" s="678">
        <f t="shared" si="20"/>
        <v>0</v>
      </c>
      <c r="I112" s="679">
        <f>D112*'Emission Factors'!$G$65*0.001</f>
        <v>0</v>
      </c>
      <c r="L112" s="723">
        <f t="shared" si="21"/>
        <v>0</v>
      </c>
      <c r="M112" s="688">
        <f t="shared" si="22"/>
        <v>0</v>
      </c>
      <c r="N112" s="724">
        <f t="shared" si="23"/>
        <v>0</v>
      </c>
    </row>
    <row r="113" spans="1:22" x14ac:dyDescent="0.35">
      <c r="A113" s="698"/>
      <c r="B113" s="675"/>
      <c r="C113" s="677">
        <f>(B113/'Emission Factors'!$B$87)/1000</f>
        <v>0</v>
      </c>
      <c r="D113" s="677">
        <f>C113*'Emission Factors'!$B$65</f>
        <v>0</v>
      </c>
      <c r="E113" s="677">
        <f>'Emission Factors'!$C$65*$D113*0.001</f>
        <v>0</v>
      </c>
      <c r="F113" s="677">
        <f>'Emission Factors'!$D$65*$D113*0.001</f>
        <v>0</v>
      </c>
      <c r="G113" s="677">
        <f>'Emission Factors'!$E$65*$D113*0.001</f>
        <v>0</v>
      </c>
      <c r="H113" s="678">
        <f t="shared" si="20"/>
        <v>0</v>
      </c>
      <c r="I113" s="679">
        <f>D113*'Emission Factors'!$G$65*0.001</f>
        <v>0</v>
      </c>
      <c r="L113" s="723">
        <f t="shared" si="21"/>
        <v>0</v>
      </c>
      <c r="M113" s="688">
        <f t="shared" si="22"/>
        <v>0</v>
      </c>
      <c r="N113" s="724">
        <f t="shared" si="23"/>
        <v>0</v>
      </c>
    </row>
    <row r="114" spans="1:22" x14ac:dyDescent="0.35">
      <c r="A114" s="698"/>
      <c r="B114" s="675"/>
      <c r="C114" s="677">
        <f>(B114/'Emission Factors'!$B$87)/1000</f>
        <v>0</v>
      </c>
      <c r="D114" s="677">
        <f>C114*'Emission Factors'!$B$65</f>
        <v>0</v>
      </c>
      <c r="E114" s="677">
        <f>'Emission Factors'!$C$65*$D114*0.001</f>
        <v>0</v>
      </c>
      <c r="F114" s="677">
        <f>'Emission Factors'!$D$65*$D114*0.001</f>
        <v>0</v>
      </c>
      <c r="G114" s="677">
        <f>'Emission Factors'!$E$65*$D114*0.001</f>
        <v>0</v>
      </c>
      <c r="H114" s="678">
        <f t="shared" si="20"/>
        <v>0</v>
      </c>
      <c r="I114" s="679">
        <f>D114*'Emission Factors'!$G$65*0.001</f>
        <v>0</v>
      </c>
      <c r="L114" s="723">
        <f t="shared" si="21"/>
        <v>0</v>
      </c>
      <c r="M114" s="688">
        <f t="shared" si="22"/>
        <v>0</v>
      </c>
      <c r="N114" s="724">
        <f t="shared" si="23"/>
        <v>0</v>
      </c>
    </row>
    <row r="115" spans="1:22" x14ac:dyDescent="0.35">
      <c r="A115" s="698"/>
      <c r="B115" s="675"/>
      <c r="C115" s="677">
        <f>(B115/'Emission Factors'!$B$87)/1000</f>
        <v>0</v>
      </c>
      <c r="D115" s="677">
        <f>C115*'Emission Factors'!$B$65</f>
        <v>0</v>
      </c>
      <c r="E115" s="677">
        <f>'Emission Factors'!$C$65*$D115*0.001</f>
        <v>0</v>
      </c>
      <c r="F115" s="677">
        <f>'Emission Factors'!$D$65*$D115*0.001</f>
        <v>0</v>
      </c>
      <c r="G115" s="677">
        <f>'Emission Factors'!$E$65*$D115*0.001</f>
        <v>0</v>
      </c>
      <c r="H115" s="678">
        <f t="shared" si="20"/>
        <v>0</v>
      </c>
      <c r="I115" s="679">
        <f>D115*'Emission Factors'!$G$65*0.001</f>
        <v>0</v>
      </c>
      <c r="L115" s="723">
        <f t="shared" si="21"/>
        <v>0</v>
      </c>
      <c r="M115" s="688">
        <f t="shared" si="22"/>
        <v>0</v>
      </c>
      <c r="N115" s="724">
        <f t="shared" si="23"/>
        <v>0</v>
      </c>
    </row>
    <row r="116" spans="1:22" x14ac:dyDescent="0.35">
      <c r="A116" s="698"/>
      <c r="B116" s="675"/>
      <c r="C116" s="677">
        <f>(B116/'Emission Factors'!$B$87)/1000</f>
        <v>0</v>
      </c>
      <c r="D116" s="677">
        <f>C116*'Emission Factors'!$B$65</f>
        <v>0</v>
      </c>
      <c r="E116" s="677">
        <f>'Emission Factors'!$C$65*$D116*0.001</f>
        <v>0</v>
      </c>
      <c r="F116" s="677">
        <f>'Emission Factors'!$D$65*$D116*0.001</f>
        <v>0</v>
      </c>
      <c r="G116" s="677">
        <f>'Emission Factors'!$E$65*$D116*0.001</f>
        <v>0</v>
      </c>
      <c r="H116" s="678">
        <f t="shared" si="20"/>
        <v>0</v>
      </c>
      <c r="I116" s="679">
        <f>D116*'Emission Factors'!$G$65*0.001</f>
        <v>0</v>
      </c>
      <c r="L116" s="723">
        <f t="shared" si="21"/>
        <v>0</v>
      </c>
      <c r="M116" s="688">
        <f t="shared" si="22"/>
        <v>0</v>
      </c>
      <c r="N116" s="724">
        <f t="shared" si="23"/>
        <v>0</v>
      </c>
    </row>
    <row r="117" spans="1:22" ht="16" thickBot="1" x14ac:dyDescent="0.4">
      <c r="A117" s="698"/>
      <c r="B117" s="675"/>
      <c r="C117" s="677">
        <f>(B117/'Emission Factors'!$B$87)/1000</f>
        <v>0</v>
      </c>
      <c r="D117" s="677">
        <f>C117*'Emission Factors'!$B$65</f>
        <v>0</v>
      </c>
      <c r="E117" s="677">
        <f>'Emission Factors'!$C$65*$D117*0.001</f>
        <v>0</v>
      </c>
      <c r="F117" s="677">
        <f>'Emission Factors'!$D$65*$D117*0.001</f>
        <v>0</v>
      </c>
      <c r="G117" s="677">
        <f>'Emission Factors'!$E$65*$D117*0.001</f>
        <v>0</v>
      </c>
      <c r="H117" s="695">
        <f t="shared" si="20"/>
        <v>0</v>
      </c>
      <c r="I117" s="679">
        <f>D117*'Emission Factors'!$G$65*0.001</f>
        <v>0</v>
      </c>
      <c r="L117" s="725">
        <f t="shared" si="21"/>
        <v>0</v>
      </c>
      <c r="M117" s="726">
        <f t="shared" si="22"/>
        <v>0</v>
      </c>
      <c r="N117" s="727">
        <f t="shared" si="23"/>
        <v>0</v>
      </c>
    </row>
    <row r="118" spans="1:22" ht="16" thickBot="1" x14ac:dyDescent="0.4">
      <c r="A118" s="693"/>
      <c r="G118" s="684" t="s">
        <v>1699</v>
      </c>
      <c r="H118" s="685">
        <f>SUM(H108:H117)</f>
        <v>0</v>
      </c>
      <c r="I118" s="686">
        <f>SUM(I108:I117)</f>
        <v>0</v>
      </c>
    </row>
    <row r="119" spans="1:22" ht="23.5" x14ac:dyDescent="0.55000000000000004">
      <c r="V119" s="667"/>
    </row>
    <row r="120" spans="1:22" s="664" customFormat="1" ht="36" x14ac:dyDescent="0.8">
      <c r="A120" s="1479" t="s">
        <v>328</v>
      </c>
      <c r="B120" s="1480"/>
      <c r="C120" s="1480"/>
      <c r="D120" s="1480"/>
      <c r="E120" s="1480"/>
      <c r="F120" s="1480"/>
      <c r="G120" s="1480"/>
      <c r="H120" s="1480"/>
      <c r="I120" s="1480"/>
      <c r="J120" s="1480"/>
      <c r="K120" s="1480"/>
      <c r="L120" s="1480"/>
      <c r="M120" s="1480"/>
      <c r="N120" s="1480"/>
      <c r="O120" s="1480"/>
      <c r="P120" s="1480"/>
      <c r="Q120" s="1481"/>
      <c r="R120" s="728"/>
    </row>
    <row r="121" spans="1:22" s="667" customFormat="1" ht="24" thickBot="1" x14ac:dyDescent="0.6">
      <c r="A121" s="1474" t="s">
        <v>329</v>
      </c>
      <c r="B121" s="1475"/>
      <c r="C121" s="1476"/>
      <c r="D121" s="1482" t="s">
        <v>330</v>
      </c>
      <c r="E121" s="1483"/>
      <c r="F121" s="665"/>
      <c r="G121" s="666"/>
      <c r="H121" s="666"/>
      <c r="I121" s="666"/>
      <c r="J121" s="666"/>
      <c r="K121" s="666"/>
      <c r="L121" s="666"/>
      <c r="M121" s="666"/>
    </row>
    <row r="122" spans="1:22" ht="18.649999999999999" customHeight="1" x14ac:dyDescent="0.45">
      <c r="E122" s="668"/>
      <c r="F122" s="668"/>
      <c r="G122" s="668"/>
      <c r="H122" s="669" t="s">
        <v>39</v>
      </c>
      <c r="I122" s="670" t="s">
        <v>68</v>
      </c>
      <c r="L122" s="1465" t="s">
        <v>394</v>
      </c>
      <c r="M122" s="1466"/>
      <c r="N122" s="1467"/>
    </row>
    <row r="123" spans="1:22" ht="37" x14ac:dyDescent="0.35">
      <c r="A123" s="671" t="s">
        <v>331</v>
      </c>
      <c r="B123" s="671" t="s">
        <v>332</v>
      </c>
      <c r="C123" s="703" t="s">
        <v>1721</v>
      </c>
      <c r="D123" s="672" t="s">
        <v>334</v>
      </c>
      <c r="E123" s="672" t="s">
        <v>1924</v>
      </c>
      <c r="F123" s="672" t="s">
        <v>1697</v>
      </c>
      <c r="G123" s="672" t="s">
        <v>1698</v>
      </c>
      <c r="H123" s="673" t="s">
        <v>1696</v>
      </c>
      <c r="I123" s="674" t="s">
        <v>1696</v>
      </c>
      <c r="L123" s="721" t="s">
        <v>397</v>
      </c>
      <c r="M123" s="628" t="s">
        <v>398</v>
      </c>
      <c r="N123" s="722" t="s">
        <v>399</v>
      </c>
    </row>
    <row r="124" spans="1:22" x14ac:dyDescent="0.35">
      <c r="A124" s="675"/>
      <c r="B124" s="692"/>
      <c r="C124" s="708">
        <f>B124/1000</f>
        <v>0</v>
      </c>
      <c r="D124" s="677">
        <f>'Emission Factors'!$B$60*C124</f>
        <v>0</v>
      </c>
      <c r="E124" s="677">
        <f>D124*'Emission Factors'!$C$60*0.001</f>
        <v>0</v>
      </c>
      <c r="F124" s="677">
        <f>D124*'Emission Factors'!$D$60*0.001</f>
        <v>0</v>
      </c>
      <c r="G124" s="677">
        <f>D124*'Emission Factors'!$E$60*0.001</f>
        <v>0</v>
      </c>
      <c r="H124" s="678">
        <f>E124+F124+G124</f>
        <v>0</v>
      </c>
      <c r="I124" s="679">
        <f>D124*'Emission Factors'!$G$60*0.001</f>
        <v>0</v>
      </c>
      <c r="L124" s="723">
        <f t="shared" ref="L124:L133" si="24">B124*0.264</f>
        <v>0</v>
      </c>
      <c r="M124" s="688">
        <f>SUM(L124*35.97)</f>
        <v>0</v>
      </c>
      <c r="N124" s="724">
        <f>SUM(M124*0.002516)</f>
        <v>0</v>
      </c>
      <c r="P124" s="655"/>
    </row>
    <row r="125" spans="1:22" x14ac:dyDescent="0.35">
      <c r="A125" s="675"/>
      <c r="B125" s="692"/>
      <c r="C125" s="708">
        <f t="shared" ref="C125:C133" si="25">B125/1000</f>
        <v>0</v>
      </c>
      <c r="D125" s="677">
        <f>'Emission Factors'!$B$60*C125</f>
        <v>0</v>
      </c>
      <c r="E125" s="677">
        <f>D125*'Emission Factors'!$C$60*0.001</f>
        <v>0</v>
      </c>
      <c r="F125" s="677">
        <f>D125*'Emission Factors'!$D$60*0.001</f>
        <v>0</v>
      </c>
      <c r="G125" s="677">
        <f>D125*'Emission Factors'!$E$60*0.001</f>
        <v>0</v>
      </c>
      <c r="H125" s="678">
        <f t="shared" ref="H125:H133" si="26">E125+F125+G125</f>
        <v>0</v>
      </c>
      <c r="I125" s="679">
        <f>D125*'Emission Factors'!$G$60*0.001</f>
        <v>0</v>
      </c>
      <c r="L125" s="723">
        <f t="shared" si="24"/>
        <v>0</v>
      </c>
      <c r="M125" s="688">
        <f t="shared" ref="M125:M133" si="27">SUM(L125*35.97)</f>
        <v>0</v>
      </c>
      <c r="N125" s="724">
        <f t="shared" ref="N125:N133" si="28">SUM(M125*0.002516)</f>
        <v>0</v>
      </c>
    </row>
    <row r="126" spans="1:22" x14ac:dyDescent="0.35">
      <c r="A126" s="675"/>
      <c r="B126" s="692"/>
      <c r="C126" s="708">
        <f t="shared" si="25"/>
        <v>0</v>
      </c>
      <c r="D126" s="677">
        <f>'Emission Factors'!$B$60*C126</f>
        <v>0</v>
      </c>
      <c r="E126" s="677">
        <f>D126*'Emission Factors'!$C$60*0.001</f>
        <v>0</v>
      </c>
      <c r="F126" s="677">
        <f>D126*'Emission Factors'!$D$60*0.001</f>
        <v>0</v>
      </c>
      <c r="G126" s="677">
        <f>D126*'Emission Factors'!$E$60*0.001</f>
        <v>0</v>
      </c>
      <c r="H126" s="678">
        <f t="shared" si="26"/>
        <v>0</v>
      </c>
      <c r="I126" s="679">
        <f>D126*'Emission Factors'!$G$60*0.001</f>
        <v>0</v>
      </c>
      <c r="L126" s="723">
        <f t="shared" si="24"/>
        <v>0</v>
      </c>
      <c r="M126" s="688">
        <f t="shared" si="27"/>
        <v>0</v>
      </c>
      <c r="N126" s="724">
        <f t="shared" si="28"/>
        <v>0</v>
      </c>
    </row>
    <row r="127" spans="1:22" x14ac:dyDescent="0.35">
      <c r="A127" s="675"/>
      <c r="B127" s="692"/>
      <c r="C127" s="708">
        <f t="shared" si="25"/>
        <v>0</v>
      </c>
      <c r="D127" s="677">
        <f>'Emission Factors'!$B$60*C127</f>
        <v>0</v>
      </c>
      <c r="E127" s="677">
        <f>D127*'Emission Factors'!$C$60*0.001</f>
        <v>0</v>
      </c>
      <c r="F127" s="677">
        <f>D127*'Emission Factors'!$D$60*0.001</f>
        <v>0</v>
      </c>
      <c r="G127" s="677">
        <f>D127*'Emission Factors'!$E$60*0.001</f>
        <v>0</v>
      </c>
      <c r="H127" s="678">
        <f t="shared" si="26"/>
        <v>0</v>
      </c>
      <c r="I127" s="679">
        <f>D127*'Emission Factors'!$G$60*0.001</f>
        <v>0</v>
      </c>
      <c r="L127" s="723">
        <f t="shared" si="24"/>
        <v>0</v>
      </c>
      <c r="M127" s="688">
        <f t="shared" si="27"/>
        <v>0</v>
      </c>
      <c r="N127" s="724">
        <f t="shared" si="28"/>
        <v>0</v>
      </c>
    </row>
    <row r="128" spans="1:22" x14ac:dyDescent="0.35">
      <c r="A128" s="675"/>
      <c r="B128" s="692"/>
      <c r="C128" s="708">
        <f t="shared" si="25"/>
        <v>0</v>
      </c>
      <c r="D128" s="677">
        <f>'Emission Factors'!$B$60*C128</f>
        <v>0</v>
      </c>
      <c r="E128" s="677">
        <f>D128*'Emission Factors'!$C$60*0.001</f>
        <v>0</v>
      </c>
      <c r="F128" s="677">
        <f>D128*'Emission Factors'!$D$60*0.001</f>
        <v>0</v>
      </c>
      <c r="G128" s="677">
        <f>D128*'Emission Factors'!$E$60*0.001</f>
        <v>0</v>
      </c>
      <c r="H128" s="678">
        <f t="shared" si="26"/>
        <v>0</v>
      </c>
      <c r="I128" s="679">
        <f>D128*'Emission Factors'!$G$60*0.001</f>
        <v>0</v>
      </c>
      <c r="L128" s="723">
        <f t="shared" si="24"/>
        <v>0</v>
      </c>
      <c r="M128" s="688">
        <f t="shared" si="27"/>
        <v>0</v>
      </c>
      <c r="N128" s="724">
        <f t="shared" si="28"/>
        <v>0</v>
      </c>
    </row>
    <row r="129" spans="1:15" x14ac:dyDescent="0.35">
      <c r="A129" s="675"/>
      <c r="B129" s="692"/>
      <c r="C129" s="708">
        <f t="shared" si="25"/>
        <v>0</v>
      </c>
      <c r="D129" s="677">
        <f>'Emission Factors'!$B$60*C129</f>
        <v>0</v>
      </c>
      <c r="E129" s="677">
        <f>D129*'Emission Factors'!$C$60*0.001</f>
        <v>0</v>
      </c>
      <c r="F129" s="677">
        <f>D129*'Emission Factors'!$D$60*0.001</f>
        <v>0</v>
      </c>
      <c r="G129" s="677">
        <f>D129*'Emission Factors'!$E$60*0.001</f>
        <v>0</v>
      </c>
      <c r="H129" s="678">
        <f t="shared" si="26"/>
        <v>0</v>
      </c>
      <c r="I129" s="679">
        <f>D129*'Emission Factors'!$G$60*0.001</f>
        <v>0</v>
      </c>
      <c r="L129" s="723">
        <f t="shared" si="24"/>
        <v>0</v>
      </c>
      <c r="M129" s="688">
        <f t="shared" si="27"/>
        <v>0</v>
      </c>
      <c r="N129" s="724">
        <f t="shared" si="28"/>
        <v>0</v>
      </c>
    </row>
    <row r="130" spans="1:15" x14ac:dyDescent="0.35">
      <c r="A130" s="675"/>
      <c r="B130" s="692"/>
      <c r="C130" s="708">
        <f t="shared" si="25"/>
        <v>0</v>
      </c>
      <c r="D130" s="677">
        <f>'Emission Factors'!$B$60*C130</f>
        <v>0</v>
      </c>
      <c r="E130" s="677">
        <f>D130*'Emission Factors'!$C$60*0.001</f>
        <v>0</v>
      </c>
      <c r="F130" s="677">
        <f>D130*'Emission Factors'!$D$60*0.001</f>
        <v>0</v>
      </c>
      <c r="G130" s="677">
        <f>D130*'Emission Factors'!$E$60*0.001</f>
        <v>0</v>
      </c>
      <c r="H130" s="678">
        <f t="shared" si="26"/>
        <v>0</v>
      </c>
      <c r="I130" s="679">
        <f>D130*'Emission Factors'!$G$60*0.001</f>
        <v>0</v>
      </c>
      <c r="L130" s="723">
        <f t="shared" si="24"/>
        <v>0</v>
      </c>
      <c r="M130" s="688">
        <f t="shared" si="27"/>
        <v>0</v>
      </c>
      <c r="N130" s="724">
        <f t="shared" si="28"/>
        <v>0</v>
      </c>
    </row>
    <row r="131" spans="1:15" x14ac:dyDescent="0.35">
      <c r="A131" s="675"/>
      <c r="B131" s="692"/>
      <c r="C131" s="708">
        <f t="shared" si="25"/>
        <v>0</v>
      </c>
      <c r="D131" s="677">
        <f>'Emission Factors'!$B$60*C131</f>
        <v>0</v>
      </c>
      <c r="E131" s="677">
        <f>D131*'Emission Factors'!$C$60*0.001</f>
        <v>0</v>
      </c>
      <c r="F131" s="677">
        <f>D131*'Emission Factors'!$D$60*0.001</f>
        <v>0</v>
      </c>
      <c r="G131" s="677">
        <f>D131*'Emission Factors'!$E$60*0.001</f>
        <v>0</v>
      </c>
      <c r="H131" s="678">
        <f t="shared" si="26"/>
        <v>0</v>
      </c>
      <c r="I131" s="679">
        <f>D131*'Emission Factors'!$G$60*0.001</f>
        <v>0</v>
      </c>
      <c r="L131" s="723">
        <f t="shared" si="24"/>
        <v>0</v>
      </c>
      <c r="M131" s="688">
        <f t="shared" si="27"/>
        <v>0</v>
      </c>
      <c r="N131" s="724">
        <f t="shared" si="28"/>
        <v>0</v>
      </c>
    </row>
    <row r="132" spans="1:15" x14ac:dyDescent="0.35">
      <c r="A132" s="675"/>
      <c r="B132" s="692"/>
      <c r="C132" s="708">
        <f t="shared" si="25"/>
        <v>0</v>
      </c>
      <c r="D132" s="677">
        <f>'Emission Factors'!$B$60*C132</f>
        <v>0</v>
      </c>
      <c r="E132" s="677">
        <f>D132*'Emission Factors'!$C$60*0.001</f>
        <v>0</v>
      </c>
      <c r="F132" s="677">
        <f>D132*'Emission Factors'!$D$60*0.001</f>
        <v>0</v>
      </c>
      <c r="G132" s="677">
        <f>D132*'Emission Factors'!$E$60*0.001</f>
        <v>0</v>
      </c>
      <c r="H132" s="678">
        <f t="shared" si="26"/>
        <v>0</v>
      </c>
      <c r="I132" s="679">
        <f>D132*'Emission Factors'!$G$60*0.001</f>
        <v>0</v>
      </c>
      <c r="L132" s="723">
        <f t="shared" si="24"/>
        <v>0</v>
      </c>
      <c r="M132" s="688">
        <f t="shared" si="27"/>
        <v>0</v>
      </c>
      <c r="N132" s="724">
        <f t="shared" si="28"/>
        <v>0</v>
      </c>
    </row>
    <row r="133" spans="1:15" ht="16" thickBot="1" x14ac:dyDescent="0.4">
      <c r="A133" s="675"/>
      <c r="B133" s="692"/>
      <c r="C133" s="708">
        <f t="shared" si="25"/>
        <v>0</v>
      </c>
      <c r="D133" s="677">
        <f>'Emission Factors'!$B$60*C133</f>
        <v>0</v>
      </c>
      <c r="E133" s="677">
        <f>D133*'Emission Factors'!$C$60*0.001</f>
        <v>0</v>
      </c>
      <c r="F133" s="677">
        <f>D133*'Emission Factors'!$D$60*0.001</f>
        <v>0</v>
      </c>
      <c r="G133" s="677">
        <f>D133*'Emission Factors'!$E$60*0.001</f>
        <v>0</v>
      </c>
      <c r="H133" s="680">
        <f t="shared" si="26"/>
        <v>0</v>
      </c>
      <c r="I133" s="679">
        <f>D133*'Emission Factors'!$G$60*0.001</f>
        <v>0</v>
      </c>
      <c r="L133" s="725">
        <f t="shared" si="24"/>
        <v>0</v>
      </c>
      <c r="M133" s="726">
        <f t="shared" si="27"/>
        <v>0</v>
      </c>
      <c r="N133" s="727">
        <f t="shared" si="28"/>
        <v>0</v>
      </c>
    </row>
    <row r="134" spans="1:15" s="667" customFormat="1" ht="24" thickBot="1" x14ac:dyDescent="0.6">
      <c r="B134" s="683"/>
      <c r="C134" s="683"/>
      <c r="D134" s="683"/>
      <c r="E134" s="666"/>
      <c r="F134" s="683"/>
      <c r="G134" s="684" t="s">
        <v>1699</v>
      </c>
      <c r="H134" s="685">
        <f>SUM(H124:H133)</f>
        <v>0</v>
      </c>
      <c r="I134" s="686">
        <f>SUM(I124:I133)</f>
        <v>0</v>
      </c>
      <c r="J134" s="666"/>
      <c r="K134" s="666"/>
      <c r="L134" s="666"/>
      <c r="M134" s="666"/>
      <c r="N134" s="666"/>
      <c r="O134" s="683"/>
    </row>
    <row r="135" spans="1:15" ht="23.5" x14ac:dyDescent="0.35">
      <c r="A135" s="682" t="s">
        <v>335</v>
      </c>
    </row>
    <row r="136" spans="1:15" s="664" customFormat="1" ht="36" x14ac:dyDescent="0.8">
      <c r="A136" s="1474" t="s">
        <v>337</v>
      </c>
      <c r="B136" s="1475"/>
      <c r="C136" s="1476"/>
    </row>
    <row r="137" spans="1:15" s="667" customFormat="1" ht="24" customHeight="1" thickBot="1" x14ac:dyDescent="0.6">
      <c r="A137" s="1474" t="s">
        <v>338</v>
      </c>
      <c r="B137" s="1475"/>
      <c r="C137" s="1476"/>
      <c r="D137" s="1477" t="s">
        <v>330</v>
      </c>
      <c r="E137" s="1478"/>
      <c r="F137" s="690"/>
      <c r="H137" s="691"/>
      <c r="I137" s="666"/>
      <c r="J137" s="666"/>
      <c r="K137" s="666"/>
      <c r="L137" s="666"/>
      <c r="M137" s="666"/>
    </row>
    <row r="138" spans="1:15" ht="18.75" customHeight="1" x14ac:dyDescent="0.45">
      <c r="E138" s="668"/>
      <c r="F138" s="668"/>
      <c r="G138" s="668"/>
      <c r="H138" s="669" t="s">
        <v>39</v>
      </c>
      <c r="I138" s="670" t="s">
        <v>68</v>
      </c>
      <c r="L138" s="1465" t="s">
        <v>394</v>
      </c>
      <c r="M138" s="1466"/>
      <c r="N138" s="1467"/>
    </row>
    <row r="139" spans="1:15" ht="55.5" x14ac:dyDescent="0.35">
      <c r="A139" s="671" t="s">
        <v>331</v>
      </c>
      <c r="B139" s="671" t="s">
        <v>339</v>
      </c>
      <c r="C139" s="671" t="s">
        <v>1702</v>
      </c>
      <c r="D139" s="672" t="s">
        <v>334</v>
      </c>
      <c r="E139" s="672" t="s">
        <v>1924</v>
      </c>
      <c r="F139" s="672" t="s">
        <v>1697</v>
      </c>
      <c r="G139" s="672" t="s">
        <v>1698</v>
      </c>
      <c r="H139" s="673" t="s">
        <v>1696</v>
      </c>
      <c r="I139" s="674" t="s">
        <v>1696</v>
      </c>
      <c r="L139" s="721" t="s">
        <v>397</v>
      </c>
      <c r="M139" s="628" t="s">
        <v>398</v>
      </c>
      <c r="N139" s="722" t="s">
        <v>399</v>
      </c>
    </row>
    <row r="140" spans="1:15" x14ac:dyDescent="0.35">
      <c r="A140" s="675"/>
      <c r="B140" s="675"/>
      <c r="C140" s="677">
        <f>(B140/'Emission Factors'!$F$86)/1000</f>
        <v>0</v>
      </c>
      <c r="D140" s="677">
        <f>'Emission Factors'!$B$60*C140</f>
        <v>0</v>
      </c>
      <c r="E140" s="677">
        <f>D140*'Emission Factors'!$C$60*0.001</f>
        <v>0</v>
      </c>
      <c r="F140" s="677">
        <f>D140*'Emission Factors'!$D$60*0.001</f>
        <v>0</v>
      </c>
      <c r="G140" s="677">
        <f>D140*'Emission Factors'!$E$60*0.001</f>
        <v>0</v>
      </c>
      <c r="H140" s="678">
        <f>E140+F140+G140</f>
        <v>0</v>
      </c>
      <c r="I140" s="679">
        <f>D140*'Emission Factors'!$G$60*0.001</f>
        <v>0</v>
      </c>
      <c r="L140" s="723">
        <f t="shared" ref="L140:L149" si="29">C140*0.264</f>
        <v>0</v>
      </c>
      <c r="M140" s="688">
        <f>SUM(L140*35.97)</f>
        <v>0</v>
      </c>
      <c r="N140" s="724">
        <f>SUM(M140*0.002516)</f>
        <v>0</v>
      </c>
    </row>
    <row r="141" spans="1:15" x14ac:dyDescent="0.35">
      <c r="A141" s="675"/>
      <c r="B141" s="675"/>
      <c r="C141" s="677">
        <f>(B141/'Emission Factors'!$F$86)/1000</f>
        <v>0</v>
      </c>
      <c r="D141" s="677">
        <f>'Emission Factors'!$B$60*C141</f>
        <v>0</v>
      </c>
      <c r="E141" s="677">
        <f>D141*'Emission Factors'!$C$60*0.001</f>
        <v>0</v>
      </c>
      <c r="F141" s="677">
        <f>D141*'Emission Factors'!$D$60*0.001</f>
        <v>0</v>
      </c>
      <c r="G141" s="677">
        <f>D141*'Emission Factors'!$E$60*0.001</f>
        <v>0</v>
      </c>
      <c r="H141" s="678">
        <f t="shared" ref="H141:H149" si="30">E141+F141+G141</f>
        <v>0</v>
      </c>
      <c r="I141" s="679">
        <f>D141*'Emission Factors'!$G$60*0.001</f>
        <v>0</v>
      </c>
      <c r="L141" s="723">
        <f t="shared" si="29"/>
        <v>0</v>
      </c>
      <c r="M141" s="688">
        <f t="shared" ref="M141:M149" si="31">SUM(L141*35.97)</f>
        <v>0</v>
      </c>
      <c r="N141" s="724">
        <f t="shared" ref="N141:N149" si="32">SUM(M141*0.002516)</f>
        <v>0</v>
      </c>
    </row>
    <row r="142" spans="1:15" x14ac:dyDescent="0.35">
      <c r="A142" s="675"/>
      <c r="B142" s="675"/>
      <c r="C142" s="677">
        <f>(B142/'Emission Factors'!$F$86)/1000</f>
        <v>0</v>
      </c>
      <c r="D142" s="677">
        <f>'Emission Factors'!$B$60*C142</f>
        <v>0</v>
      </c>
      <c r="E142" s="677">
        <f>D142*'Emission Factors'!$C$60*0.001</f>
        <v>0</v>
      </c>
      <c r="F142" s="677">
        <f>D142*'Emission Factors'!$D$60*0.001</f>
        <v>0</v>
      </c>
      <c r="G142" s="677">
        <f>D142*'Emission Factors'!$E$60*0.001</f>
        <v>0</v>
      </c>
      <c r="H142" s="678">
        <f t="shared" si="30"/>
        <v>0</v>
      </c>
      <c r="I142" s="679">
        <f>D142*'Emission Factors'!$G$60*0.001</f>
        <v>0</v>
      </c>
      <c r="L142" s="723">
        <f t="shared" si="29"/>
        <v>0</v>
      </c>
      <c r="M142" s="688">
        <f t="shared" si="31"/>
        <v>0</v>
      </c>
      <c r="N142" s="724">
        <f t="shared" si="32"/>
        <v>0</v>
      </c>
    </row>
    <row r="143" spans="1:15" x14ac:dyDescent="0.35">
      <c r="A143" s="675"/>
      <c r="B143" s="675"/>
      <c r="C143" s="677">
        <f>(B143/'Emission Factors'!$F$86)/1000</f>
        <v>0</v>
      </c>
      <c r="D143" s="677">
        <f>'Emission Factors'!$B$60*C143</f>
        <v>0</v>
      </c>
      <c r="E143" s="677">
        <f>D143*'Emission Factors'!$C$60*0.001</f>
        <v>0</v>
      </c>
      <c r="F143" s="677">
        <f>D143*'Emission Factors'!$D$60*0.001</f>
        <v>0</v>
      </c>
      <c r="G143" s="677">
        <f>D143*'Emission Factors'!$E$60*0.001</f>
        <v>0</v>
      </c>
      <c r="H143" s="678">
        <f t="shared" si="30"/>
        <v>0</v>
      </c>
      <c r="I143" s="679">
        <f>D143*'Emission Factors'!$G$60*0.001</f>
        <v>0</v>
      </c>
      <c r="L143" s="723">
        <f t="shared" si="29"/>
        <v>0</v>
      </c>
      <c r="M143" s="688">
        <f t="shared" si="31"/>
        <v>0</v>
      </c>
      <c r="N143" s="724">
        <f t="shared" si="32"/>
        <v>0</v>
      </c>
    </row>
    <row r="144" spans="1:15" x14ac:dyDescent="0.35">
      <c r="A144" s="675"/>
      <c r="B144" s="675"/>
      <c r="C144" s="677">
        <f>(B144/'Emission Factors'!$F$86)/1000</f>
        <v>0</v>
      </c>
      <c r="D144" s="677">
        <f>'Emission Factors'!$B$60*C144</f>
        <v>0</v>
      </c>
      <c r="E144" s="677">
        <f>D144*'Emission Factors'!$C$60*0.001</f>
        <v>0</v>
      </c>
      <c r="F144" s="677">
        <f>D144*'Emission Factors'!$D$60*0.001</f>
        <v>0</v>
      </c>
      <c r="G144" s="677">
        <f>D144*'Emission Factors'!$E$60*0.001</f>
        <v>0</v>
      </c>
      <c r="H144" s="678">
        <f t="shared" si="30"/>
        <v>0</v>
      </c>
      <c r="I144" s="679">
        <f>D144*'Emission Factors'!$G$60*0.001</f>
        <v>0</v>
      </c>
      <c r="L144" s="723">
        <f t="shared" si="29"/>
        <v>0</v>
      </c>
      <c r="M144" s="688">
        <f t="shared" si="31"/>
        <v>0</v>
      </c>
      <c r="N144" s="724">
        <f t="shared" si="32"/>
        <v>0</v>
      </c>
    </row>
    <row r="145" spans="1:18" x14ac:dyDescent="0.35">
      <c r="A145" s="675"/>
      <c r="B145" s="675"/>
      <c r="C145" s="677">
        <f>(B145/'Emission Factors'!$F$86)/1000</f>
        <v>0</v>
      </c>
      <c r="D145" s="677">
        <f>'Emission Factors'!$B$60*C145</f>
        <v>0</v>
      </c>
      <c r="E145" s="677">
        <f>D145*'Emission Factors'!$C$60*0.001</f>
        <v>0</v>
      </c>
      <c r="F145" s="677">
        <f>D145*'Emission Factors'!$D$60*0.001</f>
        <v>0</v>
      </c>
      <c r="G145" s="677">
        <f>D145*'Emission Factors'!$E$60*0.001</f>
        <v>0</v>
      </c>
      <c r="H145" s="678">
        <f t="shared" si="30"/>
        <v>0</v>
      </c>
      <c r="I145" s="679">
        <f>D145*'Emission Factors'!$G$60*0.001</f>
        <v>0</v>
      </c>
      <c r="L145" s="723">
        <f t="shared" si="29"/>
        <v>0</v>
      </c>
      <c r="M145" s="688">
        <f t="shared" si="31"/>
        <v>0</v>
      </c>
      <c r="N145" s="724">
        <f t="shared" si="32"/>
        <v>0</v>
      </c>
    </row>
    <row r="146" spans="1:18" x14ac:dyDescent="0.35">
      <c r="A146" s="675"/>
      <c r="B146" s="675"/>
      <c r="C146" s="677">
        <f>(B146/'Emission Factors'!$F$86)/1000</f>
        <v>0</v>
      </c>
      <c r="D146" s="677">
        <f>'Emission Factors'!$B$60*C146</f>
        <v>0</v>
      </c>
      <c r="E146" s="677">
        <f>D146*'Emission Factors'!$C$60*0.001</f>
        <v>0</v>
      </c>
      <c r="F146" s="677">
        <f>D146*'Emission Factors'!$D$60*0.001</f>
        <v>0</v>
      </c>
      <c r="G146" s="677">
        <f>D146*'Emission Factors'!$E$60*0.001</f>
        <v>0</v>
      </c>
      <c r="H146" s="678">
        <f t="shared" si="30"/>
        <v>0</v>
      </c>
      <c r="I146" s="679">
        <f>D146*'Emission Factors'!$G$60*0.001</f>
        <v>0</v>
      </c>
      <c r="L146" s="723">
        <f t="shared" si="29"/>
        <v>0</v>
      </c>
      <c r="M146" s="688">
        <f t="shared" si="31"/>
        <v>0</v>
      </c>
      <c r="N146" s="724">
        <f t="shared" si="32"/>
        <v>0</v>
      </c>
    </row>
    <row r="147" spans="1:18" x14ac:dyDescent="0.35">
      <c r="A147" s="675"/>
      <c r="B147" s="675"/>
      <c r="C147" s="677">
        <f>(B147/'Emission Factors'!$F$86)/1000</f>
        <v>0</v>
      </c>
      <c r="D147" s="677">
        <f>'Emission Factors'!$B$60*C147</f>
        <v>0</v>
      </c>
      <c r="E147" s="677">
        <f>D147*'Emission Factors'!$C$60*0.001</f>
        <v>0</v>
      </c>
      <c r="F147" s="677">
        <f>D147*'Emission Factors'!$D$60*0.001</f>
        <v>0</v>
      </c>
      <c r="G147" s="677">
        <f>D147*'Emission Factors'!$E$60*0.001</f>
        <v>0</v>
      </c>
      <c r="H147" s="678">
        <f t="shared" si="30"/>
        <v>0</v>
      </c>
      <c r="I147" s="679">
        <f>D147*'Emission Factors'!$G$60*0.001</f>
        <v>0</v>
      </c>
      <c r="L147" s="723">
        <f t="shared" si="29"/>
        <v>0</v>
      </c>
      <c r="M147" s="688">
        <f t="shared" si="31"/>
        <v>0</v>
      </c>
      <c r="N147" s="724">
        <f t="shared" si="32"/>
        <v>0</v>
      </c>
    </row>
    <row r="148" spans="1:18" x14ac:dyDescent="0.35">
      <c r="A148" s="675"/>
      <c r="B148" s="675"/>
      <c r="C148" s="677">
        <f>(B148/'Emission Factors'!$F$86)/1000</f>
        <v>0</v>
      </c>
      <c r="D148" s="677">
        <f>'Emission Factors'!$B$60*C148</f>
        <v>0</v>
      </c>
      <c r="E148" s="677">
        <f>D148*'Emission Factors'!$C$60*0.001</f>
        <v>0</v>
      </c>
      <c r="F148" s="677">
        <f>D148*'Emission Factors'!$D$60*0.001</f>
        <v>0</v>
      </c>
      <c r="G148" s="677">
        <f>D148*'Emission Factors'!$E$60*0.001</f>
        <v>0</v>
      </c>
      <c r="H148" s="678">
        <f t="shared" si="30"/>
        <v>0</v>
      </c>
      <c r="I148" s="679">
        <f>D148*'Emission Factors'!$G$60*0.001</f>
        <v>0</v>
      </c>
      <c r="L148" s="723">
        <f t="shared" si="29"/>
        <v>0</v>
      </c>
      <c r="M148" s="688">
        <f t="shared" si="31"/>
        <v>0</v>
      </c>
      <c r="N148" s="724">
        <f t="shared" si="32"/>
        <v>0</v>
      </c>
    </row>
    <row r="149" spans="1:18" ht="16" thickBot="1" x14ac:dyDescent="0.4">
      <c r="A149" s="675"/>
      <c r="B149" s="675"/>
      <c r="C149" s="677">
        <f>(B149/'Emission Factors'!$F$86)/1000</f>
        <v>0</v>
      </c>
      <c r="D149" s="677">
        <f>'Emission Factors'!$B$60*C149</f>
        <v>0</v>
      </c>
      <c r="E149" s="677">
        <f>D149*'Emission Factors'!$C$60*0.001</f>
        <v>0</v>
      </c>
      <c r="F149" s="677">
        <f>D149*'Emission Factors'!$D$60*0.001</f>
        <v>0</v>
      </c>
      <c r="G149" s="677">
        <f>D149*'Emission Factors'!$E$60*0.001</f>
        <v>0</v>
      </c>
      <c r="H149" s="680">
        <f t="shared" si="30"/>
        <v>0</v>
      </c>
      <c r="I149" s="679">
        <f>D149*'Emission Factors'!$G$60*0.001</f>
        <v>0</v>
      </c>
      <c r="L149" s="725">
        <f t="shared" si="29"/>
        <v>0</v>
      </c>
      <c r="M149" s="726">
        <f t="shared" si="31"/>
        <v>0</v>
      </c>
      <c r="N149" s="727">
        <f t="shared" si="32"/>
        <v>0</v>
      </c>
    </row>
    <row r="150" spans="1:18" ht="24" thickBot="1" x14ac:dyDescent="0.4">
      <c r="D150" s="683"/>
      <c r="E150" s="666"/>
      <c r="F150" s="683"/>
      <c r="G150" s="684" t="s">
        <v>1699</v>
      </c>
      <c r="H150" s="685">
        <f>SUM(H140:H149)</f>
        <v>0</v>
      </c>
      <c r="I150" s="686">
        <f>SUM(I140:I149)</f>
        <v>0</v>
      </c>
    </row>
    <row r="151" spans="1:18" s="667" customFormat="1" ht="23.5" x14ac:dyDescent="0.55000000000000004"/>
    <row r="152" spans="1:18" s="667" customFormat="1" ht="24" customHeight="1" thickBot="1" x14ac:dyDescent="0.6">
      <c r="A152" s="1474" t="s">
        <v>342</v>
      </c>
      <c r="B152" s="1475"/>
      <c r="C152" s="1476"/>
      <c r="D152" s="1477" t="s">
        <v>330</v>
      </c>
      <c r="E152" s="1478"/>
      <c r="F152" s="665"/>
      <c r="G152" s="666"/>
      <c r="H152" s="666"/>
      <c r="I152" s="666"/>
      <c r="J152" s="666"/>
      <c r="K152" s="666"/>
      <c r="L152" s="666"/>
      <c r="M152" s="666"/>
      <c r="P152" s="690"/>
      <c r="R152" s="691"/>
    </row>
    <row r="153" spans="1:18" ht="18.75" customHeight="1" x14ac:dyDescent="0.45">
      <c r="E153" s="668"/>
      <c r="F153" s="668"/>
      <c r="G153" s="668"/>
      <c r="H153" s="669" t="s">
        <v>39</v>
      </c>
      <c r="I153" s="670" t="s">
        <v>68</v>
      </c>
      <c r="L153" s="1465" t="s">
        <v>394</v>
      </c>
      <c r="M153" s="1466"/>
      <c r="N153" s="1467"/>
    </row>
    <row r="154" spans="1:18" ht="55.5" x14ac:dyDescent="0.35">
      <c r="A154" s="671" t="s">
        <v>331</v>
      </c>
      <c r="B154" s="671" t="s">
        <v>339</v>
      </c>
      <c r="C154" s="671" t="s">
        <v>1702</v>
      </c>
      <c r="D154" s="672" t="s">
        <v>334</v>
      </c>
      <c r="E154" s="672" t="s">
        <v>1696</v>
      </c>
      <c r="F154" s="672" t="s">
        <v>1697</v>
      </c>
      <c r="G154" s="672" t="s">
        <v>1698</v>
      </c>
      <c r="H154" s="673" t="s">
        <v>1696</v>
      </c>
      <c r="I154" s="674" t="s">
        <v>1696</v>
      </c>
      <c r="L154" s="721" t="s">
        <v>397</v>
      </c>
      <c r="M154" s="628" t="s">
        <v>398</v>
      </c>
      <c r="N154" s="722" t="s">
        <v>399</v>
      </c>
    </row>
    <row r="155" spans="1:18" x14ac:dyDescent="0.35">
      <c r="A155" s="675"/>
      <c r="B155" s="675"/>
      <c r="C155" s="677">
        <f>(B155/'Emission Factors'!$F$87)/1000</f>
        <v>0</v>
      </c>
      <c r="D155" s="677">
        <f>'Emission Factors'!$B$60*C155</f>
        <v>0</v>
      </c>
      <c r="E155" s="677">
        <f>D155*'Emission Factors'!$C$60*0.001</f>
        <v>0</v>
      </c>
      <c r="F155" s="677">
        <f>D155*'Emission Factors'!$D$60*0.001</f>
        <v>0</v>
      </c>
      <c r="G155" s="677">
        <f>D155*'Emission Factors'!$E$60*0.001</f>
        <v>0</v>
      </c>
      <c r="H155" s="678">
        <f>E155+F155+G155</f>
        <v>0</v>
      </c>
      <c r="I155" s="679">
        <f>D155*'Emission Factors'!$G$60*0.001</f>
        <v>0</v>
      </c>
      <c r="L155" s="723">
        <f t="shared" ref="L155:L164" si="33">C155*0.264</f>
        <v>0</v>
      </c>
      <c r="M155" s="688">
        <f>SUM(L155*35.97)</f>
        <v>0</v>
      </c>
      <c r="N155" s="724">
        <f>SUM(M155*0.002516)</f>
        <v>0</v>
      </c>
    </row>
    <row r="156" spans="1:18" x14ac:dyDescent="0.35">
      <c r="A156" s="675"/>
      <c r="B156" s="675"/>
      <c r="C156" s="677">
        <f>(B156/'Emission Factors'!$F$87)/1000</f>
        <v>0</v>
      </c>
      <c r="D156" s="677">
        <f>'Emission Factors'!$B$60*C156</f>
        <v>0</v>
      </c>
      <c r="E156" s="677">
        <f>D156*'Emission Factors'!$C$60*0.001</f>
        <v>0</v>
      </c>
      <c r="F156" s="677">
        <f>D156*'Emission Factors'!$D$60*0.001</f>
        <v>0</v>
      </c>
      <c r="G156" s="677">
        <f>D156*'Emission Factors'!$E$60*0.001</f>
        <v>0</v>
      </c>
      <c r="H156" s="678">
        <f t="shared" ref="H156:H164" si="34">E156+F156+G156</f>
        <v>0</v>
      </c>
      <c r="I156" s="679">
        <f>D156*'Emission Factors'!$G$60*0.001</f>
        <v>0</v>
      </c>
      <c r="L156" s="723">
        <f t="shared" si="33"/>
        <v>0</v>
      </c>
      <c r="M156" s="688">
        <f t="shared" ref="M156:M164" si="35">SUM(L156*35.97)</f>
        <v>0</v>
      </c>
      <c r="N156" s="724">
        <f t="shared" ref="N156:N164" si="36">SUM(M156*0.002516)</f>
        <v>0</v>
      </c>
    </row>
    <row r="157" spans="1:18" x14ac:dyDescent="0.35">
      <c r="A157" s="675"/>
      <c r="B157" s="675"/>
      <c r="C157" s="677">
        <f>(B157/'Emission Factors'!$F$87)/1000</f>
        <v>0</v>
      </c>
      <c r="D157" s="677">
        <f>'Emission Factors'!$B$60*C157</f>
        <v>0</v>
      </c>
      <c r="E157" s="677">
        <f>D157*'Emission Factors'!$C$60*0.001</f>
        <v>0</v>
      </c>
      <c r="F157" s="677">
        <f>D157*'Emission Factors'!$D$60*0.001</f>
        <v>0</v>
      </c>
      <c r="G157" s="677">
        <f>D157*'Emission Factors'!$E$60*0.001</f>
        <v>0</v>
      </c>
      <c r="H157" s="678">
        <f t="shared" si="34"/>
        <v>0</v>
      </c>
      <c r="I157" s="679">
        <f>D157*'Emission Factors'!$G$60*0.001</f>
        <v>0</v>
      </c>
      <c r="L157" s="723">
        <f t="shared" si="33"/>
        <v>0</v>
      </c>
      <c r="M157" s="688">
        <f t="shared" si="35"/>
        <v>0</v>
      </c>
      <c r="N157" s="724">
        <f t="shared" si="36"/>
        <v>0</v>
      </c>
    </row>
    <row r="158" spans="1:18" x14ac:dyDescent="0.35">
      <c r="A158" s="675"/>
      <c r="B158" s="675"/>
      <c r="C158" s="677">
        <f>(B158/'Emission Factors'!$F$87)/1000</f>
        <v>0</v>
      </c>
      <c r="D158" s="677">
        <f>'Emission Factors'!$B$60*C158</f>
        <v>0</v>
      </c>
      <c r="E158" s="677">
        <f>D158*'Emission Factors'!$C$60*0.001</f>
        <v>0</v>
      </c>
      <c r="F158" s="677">
        <f>D158*'Emission Factors'!$D$60*0.001</f>
        <v>0</v>
      </c>
      <c r="G158" s="677">
        <f>D158*'Emission Factors'!$E$60*0.001</f>
        <v>0</v>
      </c>
      <c r="H158" s="678">
        <f t="shared" si="34"/>
        <v>0</v>
      </c>
      <c r="I158" s="679">
        <f>D158*'Emission Factors'!$G$60*0.001</f>
        <v>0</v>
      </c>
      <c r="L158" s="723">
        <f t="shared" si="33"/>
        <v>0</v>
      </c>
      <c r="M158" s="688">
        <f t="shared" si="35"/>
        <v>0</v>
      </c>
      <c r="N158" s="724">
        <f t="shared" si="36"/>
        <v>0</v>
      </c>
    </row>
    <row r="159" spans="1:18" x14ac:dyDescent="0.35">
      <c r="A159" s="675"/>
      <c r="B159" s="675"/>
      <c r="C159" s="677">
        <f>(B159/'Emission Factors'!$F$87)/1000</f>
        <v>0</v>
      </c>
      <c r="D159" s="677">
        <f>'Emission Factors'!$B$60*C159</f>
        <v>0</v>
      </c>
      <c r="E159" s="677">
        <f>D159*'Emission Factors'!$C$60*0.001</f>
        <v>0</v>
      </c>
      <c r="F159" s="677">
        <f>D159*'Emission Factors'!$D$60*0.001</f>
        <v>0</v>
      </c>
      <c r="G159" s="677">
        <f>D159*'Emission Factors'!$E$60*0.001</f>
        <v>0</v>
      </c>
      <c r="H159" s="678">
        <f t="shared" si="34"/>
        <v>0</v>
      </c>
      <c r="I159" s="679">
        <f>D159*'Emission Factors'!$G$60*0.001</f>
        <v>0</v>
      </c>
      <c r="L159" s="723">
        <f t="shared" si="33"/>
        <v>0</v>
      </c>
      <c r="M159" s="688">
        <f t="shared" si="35"/>
        <v>0</v>
      </c>
      <c r="N159" s="724">
        <f t="shared" si="36"/>
        <v>0</v>
      </c>
    </row>
    <row r="160" spans="1:18" x14ac:dyDescent="0.35">
      <c r="A160" s="675"/>
      <c r="B160" s="675"/>
      <c r="C160" s="677">
        <f>(B160/'Emission Factors'!$F$87)/1000</f>
        <v>0</v>
      </c>
      <c r="D160" s="677">
        <f>'Emission Factors'!$B$60*C160</f>
        <v>0</v>
      </c>
      <c r="E160" s="677">
        <f>D160*'Emission Factors'!$C$60*0.001</f>
        <v>0</v>
      </c>
      <c r="F160" s="677">
        <f>D160*'Emission Factors'!$D$60*0.001</f>
        <v>0</v>
      </c>
      <c r="G160" s="677">
        <f>D160*'Emission Factors'!$E$60*0.001</f>
        <v>0</v>
      </c>
      <c r="H160" s="678">
        <f t="shared" si="34"/>
        <v>0</v>
      </c>
      <c r="I160" s="679">
        <f>D160*'Emission Factors'!$G$60*0.001</f>
        <v>0</v>
      </c>
      <c r="L160" s="723">
        <f t="shared" si="33"/>
        <v>0</v>
      </c>
      <c r="M160" s="688">
        <f t="shared" si="35"/>
        <v>0</v>
      </c>
      <c r="N160" s="724">
        <f t="shared" si="36"/>
        <v>0</v>
      </c>
    </row>
    <row r="161" spans="1:14" x14ac:dyDescent="0.35">
      <c r="A161" s="675"/>
      <c r="B161" s="675"/>
      <c r="C161" s="677">
        <f>(B161/'Emission Factors'!$F$87)/1000</f>
        <v>0</v>
      </c>
      <c r="D161" s="677">
        <f>'Emission Factors'!$B$60*C161</f>
        <v>0</v>
      </c>
      <c r="E161" s="677">
        <f>D161*'Emission Factors'!$C$60*0.001</f>
        <v>0</v>
      </c>
      <c r="F161" s="677">
        <f>D161*'Emission Factors'!$D$60*0.001</f>
        <v>0</v>
      </c>
      <c r="G161" s="677">
        <f>D161*'Emission Factors'!$E$60*0.001</f>
        <v>0</v>
      </c>
      <c r="H161" s="678">
        <f t="shared" si="34"/>
        <v>0</v>
      </c>
      <c r="I161" s="679">
        <f>D161*'Emission Factors'!$G$60*0.001</f>
        <v>0</v>
      </c>
      <c r="L161" s="723">
        <f t="shared" si="33"/>
        <v>0</v>
      </c>
      <c r="M161" s="688">
        <f t="shared" si="35"/>
        <v>0</v>
      </c>
      <c r="N161" s="724">
        <f t="shared" si="36"/>
        <v>0</v>
      </c>
    </row>
    <row r="162" spans="1:14" x14ac:dyDescent="0.35">
      <c r="A162" s="675"/>
      <c r="B162" s="675"/>
      <c r="C162" s="677">
        <f>(B162/'Emission Factors'!$F$87)/1000</f>
        <v>0</v>
      </c>
      <c r="D162" s="677">
        <f>'Emission Factors'!$B$60*C162</f>
        <v>0</v>
      </c>
      <c r="E162" s="677">
        <f>D162*'Emission Factors'!$C$60*0.001</f>
        <v>0</v>
      </c>
      <c r="F162" s="677">
        <f>D162*'Emission Factors'!$D$60*0.001</f>
        <v>0</v>
      </c>
      <c r="G162" s="677">
        <f>D162*'Emission Factors'!$E$60*0.001</f>
        <v>0</v>
      </c>
      <c r="H162" s="678">
        <f t="shared" si="34"/>
        <v>0</v>
      </c>
      <c r="I162" s="679">
        <f>D162*'Emission Factors'!$G$60*0.001</f>
        <v>0</v>
      </c>
      <c r="L162" s="723">
        <f t="shared" si="33"/>
        <v>0</v>
      </c>
      <c r="M162" s="688">
        <f t="shared" si="35"/>
        <v>0</v>
      </c>
      <c r="N162" s="724">
        <f t="shared" si="36"/>
        <v>0</v>
      </c>
    </row>
    <row r="163" spans="1:14" x14ac:dyDescent="0.35">
      <c r="A163" s="675"/>
      <c r="B163" s="675"/>
      <c r="C163" s="677">
        <f>(B163/'Emission Factors'!$F$87)/1000</f>
        <v>0</v>
      </c>
      <c r="D163" s="677">
        <f>'Emission Factors'!$B$60*C163</f>
        <v>0</v>
      </c>
      <c r="E163" s="677">
        <f>D163*'Emission Factors'!$C$60*0.001</f>
        <v>0</v>
      </c>
      <c r="F163" s="677">
        <f>D163*'Emission Factors'!$D$60*0.001</f>
        <v>0</v>
      </c>
      <c r="G163" s="677">
        <f>D163*'Emission Factors'!$E$60*0.001</f>
        <v>0</v>
      </c>
      <c r="H163" s="678">
        <f t="shared" si="34"/>
        <v>0</v>
      </c>
      <c r="I163" s="679">
        <f>D163*'Emission Factors'!$G$60*0.001</f>
        <v>0</v>
      </c>
      <c r="L163" s="723">
        <f t="shared" si="33"/>
        <v>0</v>
      </c>
      <c r="M163" s="688">
        <f t="shared" si="35"/>
        <v>0</v>
      </c>
      <c r="N163" s="724">
        <f t="shared" si="36"/>
        <v>0</v>
      </c>
    </row>
    <row r="164" spans="1:14" ht="16" thickBot="1" x14ac:dyDescent="0.4">
      <c r="A164" s="675"/>
      <c r="B164" s="675"/>
      <c r="C164" s="677">
        <f>(B164/'Emission Factors'!$F$87)/1000</f>
        <v>0</v>
      </c>
      <c r="D164" s="677">
        <f>'Emission Factors'!$B$60*C164</f>
        <v>0</v>
      </c>
      <c r="E164" s="677">
        <f>D164*'Emission Factors'!$C$60*0.001</f>
        <v>0</v>
      </c>
      <c r="F164" s="677">
        <f>D164*'Emission Factors'!$D$60*0.001</f>
        <v>0</v>
      </c>
      <c r="G164" s="677">
        <f>D164*'Emission Factors'!$E$60*0.001</f>
        <v>0</v>
      </c>
      <c r="H164" s="680">
        <f t="shared" si="34"/>
        <v>0</v>
      </c>
      <c r="I164" s="679">
        <f>D164*'Emission Factors'!$G$60*0.001</f>
        <v>0</v>
      </c>
      <c r="L164" s="725">
        <f t="shared" si="33"/>
        <v>0</v>
      </c>
      <c r="M164" s="726">
        <f t="shared" si="35"/>
        <v>0</v>
      </c>
      <c r="N164" s="727">
        <f t="shared" si="36"/>
        <v>0</v>
      </c>
    </row>
    <row r="165" spans="1:14" ht="24" thickBot="1" x14ac:dyDescent="0.5">
      <c r="A165" s="712"/>
      <c r="D165" s="683"/>
      <c r="E165" s="666"/>
      <c r="F165" s="683"/>
      <c r="G165" s="684" t="s">
        <v>1699</v>
      </c>
      <c r="H165" s="685">
        <f>SUM(H155:H164)</f>
        <v>0</v>
      </c>
      <c r="I165" s="686">
        <f>SUM(I155:I164)</f>
        <v>0</v>
      </c>
    </row>
    <row r="166" spans="1:14" ht="23.5" x14ac:dyDescent="0.35">
      <c r="A166" s="682" t="s">
        <v>335</v>
      </c>
    </row>
    <row r="167" spans="1:14" s="667" customFormat="1" ht="24" customHeight="1" thickBot="1" x14ac:dyDescent="0.6">
      <c r="A167" s="1474" t="s">
        <v>403</v>
      </c>
      <c r="B167" s="1475"/>
      <c r="C167" s="1476"/>
      <c r="D167" s="1484" t="s">
        <v>330</v>
      </c>
      <c r="E167" s="1485"/>
      <c r="F167" s="665"/>
      <c r="G167" s="666"/>
      <c r="H167" s="666"/>
      <c r="I167" s="666"/>
      <c r="J167" s="666"/>
      <c r="K167" s="666"/>
      <c r="L167" s="666"/>
      <c r="M167" s="666"/>
    </row>
    <row r="168" spans="1:14" ht="18.75" customHeight="1" x14ac:dyDescent="0.45">
      <c r="E168" s="668"/>
      <c r="F168" s="668"/>
      <c r="G168" s="668"/>
      <c r="H168" s="669" t="s">
        <v>39</v>
      </c>
      <c r="I168" s="670" t="s">
        <v>68</v>
      </c>
      <c r="L168" s="1465" t="s">
        <v>394</v>
      </c>
      <c r="M168" s="1466"/>
      <c r="N168" s="1467"/>
    </row>
    <row r="169" spans="1:14" ht="37" x14ac:dyDescent="0.35">
      <c r="A169" s="671" t="s">
        <v>331</v>
      </c>
      <c r="B169" s="671" t="s">
        <v>404</v>
      </c>
      <c r="C169" s="671" t="s">
        <v>1702</v>
      </c>
      <c r="D169" s="672" t="s">
        <v>334</v>
      </c>
      <c r="E169" s="672" t="s">
        <v>1696</v>
      </c>
      <c r="F169" s="672" t="s">
        <v>1697</v>
      </c>
      <c r="G169" s="672" t="s">
        <v>1698</v>
      </c>
      <c r="H169" s="673" t="s">
        <v>1696</v>
      </c>
      <c r="I169" s="674" t="s">
        <v>1696</v>
      </c>
      <c r="L169" s="721" t="s">
        <v>397</v>
      </c>
      <c r="M169" s="628" t="s">
        <v>398</v>
      </c>
      <c r="N169" s="722" t="s">
        <v>399</v>
      </c>
    </row>
    <row r="170" spans="1:14" x14ac:dyDescent="0.35">
      <c r="A170" s="675"/>
      <c r="B170" s="675"/>
      <c r="C170" s="688">
        <f>(B170/'Emission Factors'!$B$86)/1000</f>
        <v>0</v>
      </c>
      <c r="D170" s="677">
        <f>'Emission Factors'!$B$60*C170</f>
        <v>0</v>
      </c>
      <c r="E170" s="677">
        <f>D170*'Emission Factors'!$C$60*0.001</f>
        <v>0</v>
      </c>
      <c r="F170" s="677">
        <f>D170*'Emission Factors'!$D$60*0.001</f>
        <v>0</v>
      </c>
      <c r="G170" s="677">
        <f>D170*'Emission Factors'!$E$60*0.001</f>
        <v>0</v>
      </c>
      <c r="H170" s="678">
        <f>E170+F170+G170</f>
        <v>0</v>
      </c>
      <c r="I170" s="679">
        <f>D170*'Emission Factors'!$G$60*0.001</f>
        <v>0</v>
      </c>
      <c r="L170" s="723">
        <f t="shared" ref="L170:L179" si="37">C170*0.264</f>
        <v>0</v>
      </c>
      <c r="M170" s="688">
        <f>SUM(L170*35.97)</f>
        <v>0</v>
      </c>
      <c r="N170" s="724">
        <f>SUM(M170*0.002516)</f>
        <v>0</v>
      </c>
    </row>
    <row r="171" spans="1:14" x14ac:dyDescent="0.35">
      <c r="A171" s="675"/>
      <c r="B171" s="675"/>
      <c r="C171" s="688">
        <f>(B171/'Emission Factors'!$B$86)/1000</f>
        <v>0</v>
      </c>
      <c r="D171" s="677">
        <f>'Emission Factors'!$B$60*C171</f>
        <v>0</v>
      </c>
      <c r="E171" s="677">
        <f>D171*'Emission Factors'!$C$60*0.001</f>
        <v>0</v>
      </c>
      <c r="F171" s="677">
        <f>D171*'Emission Factors'!$D$60*0.001</f>
        <v>0</v>
      </c>
      <c r="G171" s="677">
        <f>D171*'Emission Factors'!$E$60*0.001</f>
        <v>0</v>
      </c>
      <c r="H171" s="678">
        <f t="shared" ref="H171:H179" si="38">E171+F171+G171</f>
        <v>0</v>
      </c>
      <c r="I171" s="679">
        <f>D171*'Emission Factors'!$G$60*0.001</f>
        <v>0</v>
      </c>
      <c r="L171" s="723">
        <f t="shared" si="37"/>
        <v>0</v>
      </c>
      <c r="M171" s="688">
        <f t="shared" ref="M171:M179" si="39">SUM(L171*35.97)</f>
        <v>0</v>
      </c>
      <c r="N171" s="724">
        <f t="shared" ref="N171:N179" si="40">SUM(M171*0.002516)</f>
        <v>0</v>
      </c>
    </row>
    <row r="172" spans="1:14" x14ac:dyDescent="0.35">
      <c r="A172" s="675"/>
      <c r="B172" s="675"/>
      <c r="C172" s="688">
        <f>(B172/'Emission Factors'!$B$86)/1000</f>
        <v>0</v>
      </c>
      <c r="D172" s="677">
        <f>'Emission Factors'!$B$60*C172</f>
        <v>0</v>
      </c>
      <c r="E172" s="677">
        <f>D172*'Emission Factors'!$C$60*0.001</f>
        <v>0</v>
      </c>
      <c r="F172" s="677">
        <f>D172*'Emission Factors'!$D$60*0.001</f>
        <v>0</v>
      </c>
      <c r="G172" s="677">
        <f>D172*'Emission Factors'!$E$60*0.001</f>
        <v>0</v>
      </c>
      <c r="H172" s="678">
        <f t="shared" si="38"/>
        <v>0</v>
      </c>
      <c r="I172" s="679">
        <f>D172*'Emission Factors'!$G$60*0.001</f>
        <v>0</v>
      </c>
      <c r="L172" s="723">
        <f t="shared" si="37"/>
        <v>0</v>
      </c>
      <c r="M172" s="688">
        <f t="shared" si="39"/>
        <v>0</v>
      </c>
      <c r="N172" s="724">
        <f t="shared" si="40"/>
        <v>0</v>
      </c>
    </row>
    <row r="173" spans="1:14" x14ac:dyDescent="0.35">
      <c r="A173" s="675"/>
      <c r="B173" s="675"/>
      <c r="C173" s="688">
        <f>(B173/'Emission Factors'!$B$86)/1000</f>
        <v>0</v>
      </c>
      <c r="D173" s="677">
        <f>'Emission Factors'!$B$60*C173</f>
        <v>0</v>
      </c>
      <c r="E173" s="677">
        <f>D173*'Emission Factors'!$C$60*0.001</f>
        <v>0</v>
      </c>
      <c r="F173" s="677">
        <f>D173*'Emission Factors'!$D$60*0.001</f>
        <v>0</v>
      </c>
      <c r="G173" s="677">
        <f>D173*'Emission Factors'!$E$60*0.001</f>
        <v>0</v>
      </c>
      <c r="H173" s="678">
        <f t="shared" si="38"/>
        <v>0</v>
      </c>
      <c r="I173" s="679">
        <f>D173*'Emission Factors'!$G$60*0.001</f>
        <v>0</v>
      </c>
      <c r="L173" s="723">
        <f t="shared" si="37"/>
        <v>0</v>
      </c>
      <c r="M173" s="688">
        <f t="shared" si="39"/>
        <v>0</v>
      </c>
      <c r="N173" s="724">
        <f t="shared" si="40"/>
        <v>0</v>
      </c>
    </row>
    <row r="174" spans="1:14" x14ac:dyDescent="0.35">
      <c r="A174" s="675"/>
      <c r="B174" s="675"/>
      <c r="C174" s="688">
        <f>(B174/'Emission Factors'!$B$86)/1000</f>
        <v>0</v>
      </c>
      <c r="D174" s="677">
        <f>'Emission Factors'!$B$60*C174</f>
        <v>0</v>
      </c>
      <c r="E174" s="677">
        <f>D174*'Emission Factors'!$C$60*0.001</f>
        <v>0</v>
      </c>
      <c r="F174" s="677">
        <f>D174*'Emission Factors'!$D$60*0.001</f>
        <v>0</v>
      </c>
      <c r="G174" s="677">
        <f>D174*'Emission Factors'!$E$60*0.001</f>
        <v>0</v>
      </c>
      <c r="H174" s="678">
        <f t="shared" si="38"/>
        <v>0</v>
      </c>
      <c r="I174" s="679">
        <f>D174*'Emission Factors'!$G$60*0.001</f>
        <v>0</v>
      </c>
      <c r="L174" s="723">
        <f t="shared" si="37"/>
        <v>0</v>
      </c>
      <c r="M174" s="688">
        <f t="shared" si="39"/>
        <v>0</v>
      </c>
      <c r="N174" s="724">
        <f t="shared" si="40"/>
        <v>0</v>
      </c>
    </row>
    <row r="175" spans="1:14" x14ac:dyDescent="0.35">
      <c r="A175" s="675"/>
      <c r="B175" s="675"/>
      <c r="C175" s="688">
        <f>(B175/'Emission Factors'!$B$86)/1000</f>
        <v>0</v>
      </c>
      <c r="D175" s="677">
        <f>'Emission Factors'!$B$60*C175</f>
        <v>0</v>
      </c>
      <c r="E175" s="677">
        <f>D175*'Emission Factors'!$C$60*0.001</f>
        <v>0</v>
      </c>
      <c r="F175" s="677">
        <f>D175*'Emission Factors'!$D$60*0.001</f>
        <v>0</v>
      </c>
      <c r="G175" s="677">
        <f>D175*'Emission Factors'!$E$60*0.001</f>
        <v>0</v>
      </c>
      <c r="H175" s="678">
        <f t="shared" si="38"/>
        <v>0</v>
      </c>
      <c r="I175" s="679">
        <f>D175*'Emission Factors'!$G$60*0.001</f>
        <v>0</v>
      </c>
      <c r="L175" s="723">
        <f t="shared" si="37"/>
        <v>0</v>
      </c>
      <c r="M175" s="688">
        <f t="shared" si="39"/>
        <v>0</v>
      </c>
      <c r="N175" s="724">
        <f t="shared" si="40"/>
        <v>0</v>
      </c>
    </row>
    <row r="176" spans="1:14" x14ac:dyDescent="0.35">
      <c r="A176" s="675"/>
      <c r="B176" s="675"/>
      <c r="C176" s="688">
        <f>(B176/'Emission Factors'!$B$86)/1000</f>
        <v>0</v>
      </c>
      <c r="D176" s="677">
        <f>'Emission Factors'!$B$60*C176</f>
        <v>0</v>
      </c>
      <c r="E176" s="677">
        <f>D176*'Emission Factors'!$C$60*0.001</f>
        <v>0</v>
      </c>
      <c r="F176" s="677">
        <f>D176*'Emission Factors'!$D$60*0.001</f>
        <v>0</v>
      </c>
      <c r="G176" s="677">
        <f>D176*'Emission Factors'!$E$60*0.001</f>
        <v>0</v>
      </c>
      <c r="H176" s="678">
        <f t="shared" si="38"/>
        <v>0</v>
      </c>
      <c r="I176" s="679">
        <f>D176*'Emission Factors'!$G$60*0.001</f>
        <v>0</v>
      </c>
      <c r="L176" s="723">
        <f t="shared" si="37"/>
        <v>0</v>
      </c>
      <c r="M176" s="688">
        <f t="shared" si="39"/>
        <v>0</v>
      </c>
      <c r="N176" s="724">
        <f t="shared" si="40"/>
        <v>0</v>
      </c>
    </row>
    <row r="177" spans="1:14" x14ac:dyDescent="0.35">
      <c r="A177" s="675"/>
      <c r="B177" s="675"/>
      <c r="C177" s="688">
        <f>(B177/'Emission Factors'!$B$86)/1000</f>
        <v>0</v>
      </c>
      <c r="D177" s="677">
        <f>'Emission Factors'!$B$60*C177</f>
        <v>0</v>
      </c>
      <c r="E177" s="677">
        <f>D177*'Emission Factors'!$C$60*0.001</f>
        <v>0</v>
      </c>
      <c r="F177" s="677">
        <f>D177*'Emission Factors'!$D$60*0.001</f>
        <v>0</v>
      </c>
      <c r="G177" s="677">
        <f>D177*'Emission Factors'!$E$60*0.001</f>
        <v>0</v>
      </c>
      <c r="H177" s="678">
        <f t="shared" si="38"/>
        <v>0</v>
      </c>
      <c r="I177" s="679">
        <f>D177*'Emission Factors'!$G$60*0.001</f>
        <v>0</v>
      </c>
      <c r="L177" s="723">
        <f t="shared" si="37"/>
        <v>0</v>
      </c>
      <c r="M177" s="688">
        <f t="shared" si="39"/>
        <v>0</v>
      </c>
      <c r="N177" s="724">
        <f t="shared" si="40"/>
        <v>0</v>
      </c>
    </row>
    <row r="178" spans="1:14" x14ac:dyDescent="0.35">
      <c r="A178" s="675"/>
      <c r="B178" s="675"/>
      <c r="C178" s="688">
        <f>(B178/'Emission Factors'!$B$86)/1000</f>
        <v>0</v>
      </c>
      <c r="D178" s="677">
        <f>'Emission Factors'!$B$60*C178</f>
        <v>0</v>
      </c>
      <c r="E178" s="677">
        <f>D178*'Emission Factors'!$C$60*0.001</f>
        <v>0</v>
      </c>
      <c r="F178" s="677">
        <f>D178*'Emission Factors'!$D$60*0.001</f>
        <v>0</v>
      </c>
      <c r="G178" s="677">
        <f>D178*'Emission Factors'!$E$60*0.001</f>
        <v>0</v>
      </c>
      <c r="H178" s="678">
        <f t="shared" si="38"/>
        <v>0</v>
      </c>
      <c r="I178" s="679">
        <f>D178*'Emission Factors'!$G$60*0.001</f>
        <v>0</v>
      </c>
      <c r="L178" s="723">
        <f t="shared" si="37"/>
        <v>0</v>
      </c>
      <c r="M178" s="688">
        <f t="shared" si="39"/>
        <v>0</v>
      </c>
      <c r="N178" s="724">
        <f t="shared" si="40"/>
        <v>0</v>
      </c>
    </row>
    <row r="179" spans="1:14" ht="16" thickBot="1" x14ac:dyDescent="0.4">
      <c r="A179" s="675"/>
      <c r="B179" s="675"/>
      <c r="C179" s="688">
        <f>(B179/'Emission Factors'!$B$86)/1000</f>
        <v>0</v>
      </c>
      <c r="D179" s="677">
        <f>'Emission Factors'!$B$60*C179</f>
        <v>0</v>
      </c>
      <c r="E179" s="677">
        <f>D179*'Emission Factors'!$C$60*0.001</f>
        <v>0</v>
      </c>
      <c r="F179" s="677">
        <f>D179*'Emission Factors'!$D$60*0.001</f>
        <v>0</v>
      </c>
      <c r="G179" s="677">
        <f>D179*'Emission Factors'!$E$60*0.001</f>
        <v>0</v>
      </c>
      <c r="H179" s="680">
        <f t="shared" si="38"/>
        <v>0</v>
      </c>
      <c r="I179" s="679">
        <f>D179*'Emission Factors'!$G$60*0.001</f>
        <v>0</v>
      </c>
      <c r="L179" s="725">
        <f t="shared" si="37"/>
        <v>0</v>
      </c>
      <c r="M179" s="726">
        <f t="shared" si="39"/>
        <v>0</v>
      </c>
      <c r="N179" s="727">
        <f t="shared" si="40"/>
        <v>0</v>
      </c>
    </row>
    <row r="180" spans="1:14" ht="24" thickBot="1" x14ac:dyDescent="0.4">
      <c r="A180" s="693"/>
      <c r="D180" s="683"/>
      <c r="E180" s="666"/>
      <c r="F180" s="683"/>
      <c r="G180" s="684" t="s">
        <v>1699</v>
      </c>
      <c r="H180" s="685">
        <f>SUM(H170:H179)</f>
        <v>0</v>
      </c>
      <c r="I180" s="686">
        <f>SUM(I170:I179)</f>
        <v>0</v>
      </c>
    </row>
  </sheetData>
  <sheetProtection algorithmName="SHA-512" hashValue="04OhgAjImvmfE/BOgIoBpIy9MZTgPOruIgbjhrbzO1vGmno+0hLQ7qvjieyJHFavtceSJzRlh0V6gJLVV/d6WA==" saltValue="lYXH5mdJV4yDekRG2vG14w==" spinCount="100000" sheet="1" objects="1" scenarios="1"/>
  <mergeCells count="37">
    <mergeCell ref="A152:C152"/>
    <mergeCell ref="D152:E152"/>
    <mergeCell ref="L92:N92"/>
    <mergeCell ref="L168:N168"/>
    <mergeCell ref="A137:C137"/>
    <mergeCell ref="D137:E137"/>
    <mergeCell ref="L138:N138"/>
    <mergeCell ref="A120:Q120"/>
    <mergeCell ref="A121:C121"/>
    <mergeCell ref="D121:E121"/>
    <mergeCell ref="L122:N122"/>
    <mergeCell ref="A167:C167"/>
    <mergeCell ref="D167:E167"/>
    <mergeCell ref="A105:C105"/>
    <mergeCell ref="D105:E105"/>
    <mergeCell ref="A136:C136"/>
    <mergeCell ref="L106:N106"/>
    <mergeCell ref="L153:N153"/>
    <mergeCell ref="A12:N12"/>
    <mergeCell ref="B1:F1"/>
    <mergeCell ref="H1:M1"/>
    <mergeCell ref="A13:C13"/>
    <mergeCell ref="D13:E13"/>
    <mergeCell ref="D60:E60"/>
    <mergeCell ref="A28:C28"/>
    <mergeCell ref="D28:E28"/>
    <mergeCell ref="D75:E75"/>
    <mergeCell ref="D91:E91"/>
    <mergeCell ref="A91:C91"/>
    <mergeCell ref="A60:C60"/>
    <mergeCell ref="A75:C75"/>
    <mergeCell ref="A44:C44"/>
    <mergeCell ref="D44:E44"/>
    <mergeCell ref="A90:Q90"/>
    <mergeCell ref="A59:Q59"/>
    <mergeCell ref="L76:N76"/>
    <mergeCell ref="L61:N61"/>
  </mergeCells>
  <phoneticPr fontId="38" type="noConversion"/>
  <hyperlinks>
    <hyperlink ref="B73" r:id="rId1" xr:uid="{5ED1B5E8-6170-4A60-812F-E6D870A72BAC}"/>
    <hyperlink ref="B42" r:id="rId2" xr:uid="{A022E2CC-DB36-483E-8607-C9AAEDAE62E7}"/>
  </hyperlinks>
  <pageMargins left="0.7" right="0.7" top="0.75" bottom="0.75" header="0.3" footer="0.3"/>
  <pageSetup orientation="portrait" horizontalDpi="4294967293" verticalDpi="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B864-9440-448F-9BE5-039C71FAB98C}">
  <sheetPr>
    <tabColor rgb="FFFF9900"/>
  </sheetPr>
  <dimension ref="A1:R242"/>
  <sheetViews>
    <sheetView topLeftCell="A5" zoomScale="60" zoomScaleNormal="60" workbookViewId="0">
      <selection activeCell="B17" sqref="B17"/>
    </sheetView>
  </sheetViews>
  <sheetFormatPr baseColWidth="10" defaultColWidth="8.81640625" defaultRowHeight="15.5" x14ac:dyDescent="0.35"/>
  <cols>
    <col min="1" max="1" width="28.26953125" style="617" bestFit="1" customWidth="1"/>
    <col min="2" max="2" width="19.81640625" style="617" customWidth="1"/>
    <col min="3" max="3" width="19.453125" style="617" customWidth="1"/>
    <col min="4" max="5" width="25" style="617" customWidth="1"/>
    <col min="6" max="6" width="17.54296875" style="617" customWidth="1"/>
    <col min="7" max="7" width="19.453125" style="617" customWidth="1"/>
    <col min="8" max="8" width="16.81640625" style="617" customWidth="1"/>
    <col min="9" max="9" width="21.1796875" style="617" bestFit="1" customWidth="1"/>
    <col min="10" max="10" width="17.26953125" style="617" customWidth="1"/>
    <col min="11" max="11" width="14.7265625" style="617" customWidth="1"/>
    <col min="12" max="12" width="15.453125" style="617" customWidth="1"/>
    <col min="13" max="13" width="11.7265625" style="617" customWidth="1"/>
    <col min="14" max="14" width="14.1796875" style="617" customWidth="1"/>
    <col min="15" max="15" width="15.7265625" style="617" customWidth="1"/>
    <col min="16" max="16" width="19.453125" style="617" customWidth="1"/>
    <col min="17" max="17" width="19.1796875" style="617" customWidth="1"/>
    <col min="18" max="31" width="15.7265625" style="617" customWidth="1"/>
    <col min="32" max="35" width="10.7265625" style="617" customWidth="1"/>
    <col min="36" max="16384" width="8.81640625" style="617"/>
  </cols>
  <sheetData>
    <row r="1" spans="1:18" ht="84.75" customHeight="1" thickBot="1" x14ac:dyDescent="0.4">
      <c r="A1" s="654" t="s">
        <v>49</v>
      </c>
      <c r="B1" s="1486" t="s">
        <v>317</v>
      </c>
      <c r="C1" s="1487"/>
      <c r="D1" s="1487"/>
      <c r="E1" s="1487"/>
      <c r="F1" s="1488"/>
      <c r="G1" s="655"/>
      <c r="H1" s="1471" t="s">
        <v>318</v>
      </c>
      <c r="I1" s="1472"/>
      <c r="J1" s="1472"/>
      <c r="K1" s="1472"/>
      <c r="L1" s="1472"/>
      <c r="M1" s="1473"/>
    </row>
    <row r="2" spans="1:18" ht="27.75" customHeight="1" x14ac:dyDescent="0.35">
      <c r="B2" s="656"/>
      <c r="H2" s="657" t="s">
        <v>319</v>
      </c>
      <c r="I2" s="658"/>
      <c r="J2" s="659" t="s">
        <v>320</v>
      </c>
      <c r="K2" s="660"/>
      <c r="L2" s="659" t="s">
        <v>321</v>
      </c>
      <c r="M2" s="661"/>
    </row>
    <row r="3" spans="1:18" ht="46" customHeight="1" x14ac:dyDescent="0.35">
      <c r="B3" s="615" t="s">
        <v>322</v>
      </c>
      <c r="C3" s="615" t="s">
        <v>323</v>
      </c>
      <c r="M3" s="635"/>
      <c r="N3" s="635"/>
      <c r="O3" s="635"/>
      <c r="P3" s="597"/>
      <c r="Q3" s="635"/>
      <c r="R3" s="597"/>
    </row>
    <row r="4" spans="1:18" ht="46" customHeight="1" x14ac:dyDescent="0.35">
      <c r="A4" s="662"/>
      <c r="B4" s="615" t="s">
        <v>1696</v>
      </c>
      <c r="C4" s="615" t="s">
        <v>1696</v>
      </c>
    </row>
    <row r="5" spans="1:18" ht="45.65" customHeight="1" x14ac:dyDescent="0.35">
      <c r="A5" s="615" t="s">
        <v>48</v>
      </c>
      <c r="B5" s="663">
        <f>SUM(H27,I73,H43,H58)</f>
        <v>0</v>
      </c>
      <c r="C5" s="663">
        <f>SUM(I27,J73,I43,I58)</f>
        <v>0</v>
      </c>
    </row>
    <row r="6" spans="1:18" ht="45.65" customHeight="1" x14ac:dyDescent="0.35">
      <c r="A6" s="615" t="s">
        <v>325</v>
      </c>
      <c r="B6" s="663">
        <f>SUM(H89,H118,H104,H134)</f>
        <v>0</v>
      </c>
      <c r="C6" s="663">
        <f>SUM(I89,I118,I104,I134)</f>
        <v>0</v>
      </c>
    </row>
    <row r="7" spans="1:18" ht="45.65" customHeight="1" x14ac:dyDescent="0.35">
      <c r="A7" s="615" t="s">
        <v>326</v>
      </c>
      <c r="B7" s="663">
        <f>SUM(H149,H163)</f>
        <v>0</v>
      </c>
      <c r="C7" s="663">
        <f>SUM(I149,I163)</f>
        <v>0</v>
      </c>
    </row>
    <row r="8" spans="1:18" ht="45.65" customHeight="1" x14ac:dyDescent="0.35">
      <c r="A8" s="615" t="s">
        <v>45</v>
      </c>
      <c r="B8" s="663">
        <f>SUM(H179,H194)</f>
        <v>0</v>
      </c>
      <c r="C8" s="663">
        <f>SUM(I179,I194)</f>
        <v>0</v>
      </c>
    </row>
    <row r="9" spans="1:18" ht="45.65" customHeight="1" x14ac:dyDescent="0.35">
      <c r="A9" s="615" t="s">
        <v>363</v>
      </c>
      <c r="B9" s="663">
        <f>SUM(H210,H224,D239)</f>
        <v>0</v>
      </c>
      <c r="C9" s="663">
        <f>SUM(I210,I224,E239)</f>
        <v>0</v>
      </c>
    </row>
    <row r="10" spans="1:18" ht="45.65" customHeight="1" x14ac:dyDescent="0.35">
      <c r="A10" s="615" t="s">
        <v>327</v>
      </c>
      <c r="B10" s="623">
        <f>SUM(B5:B9)</f>
        <v>0</v>
      </c>
      <c r="C10" s="623">
        <f>SUM(C5:C9)</f>
        <v>0</v>
      </c>
    </row>
    <row r="11" spans="1:18" x14ac:dyDescent="0.35">
      <c r="B11" s="656"/>
      <c r="M11" s="635"/>
      <c r="N11" s="635"/>
      <c r="O11" s="635"/>
      <c r="P11" s="597"/>
      <c r="Q11" s="635"/>
      <c r="R11" s="597"/>
    </row>
    <row r="12" spans="1:18" x14ac:dyDescent="0.35">
      <c r="B12" s="656"/>
      <c r="M12" s="635"/>
      <c r="N12" s="635"/>
      <c r="O12" s="635"/>
      <c r="P12" s="597"/>
      <c r="Q12" s="635"/>
      <c r="R12" s="597"/>
    </row>
    <row r="13" spans="1:18" s="664" customFormat="1" ht="36" x14ac:dyDescent="0.8">
      <c r="A13" s="1463" t="s">
        <v>1913</v>
      </c>
      <c r="B13" s="1464"/>
      <c r="C13" s="1464"/>
      <c r="D13" s="1464"/>
      <c r="E13" s="1464"/>
      <c r="F13" s="1464"/>
      <c r="G13" s="1464"/>
      <c r="H13" s="1464"/>
      <c r="I13" s="1464"/>
      <c r="J13" s="1464"/>
      <c r="K13" s="1464"/>
      <c r="L13" s="1464"/>
      <c r="M13" s="1464"/>
      <c r="N13" s="1464"/>
      <c r="O13" s="1464"/>
      <c r="P13" s="1464"/>
      <c r="Q13" s="1464"/>
      <c r="R13" s="1464"/>
    </row>
    <row r="14" spans="1:18" s="667" customFormat="1" ht="25.5" customHeight="1" thickBot="1" x14ac:dyDescent="0.6">
      <c r="A14" s="1474" t="s">
        <v>329</v>
      </c>
      <c r="B14" s="1475"/>
      <c r="C14" s="1476"/>
      <c r="D14" s="1477" t="s">
        <v>330</v>
      </c>
      <c r="E14" s="1478"/>
      <c r="F14" s="665"/>
      <c r="G14" s="666"/>
      <c r="H14" s="666"/>
      <c r="I14" s="666"/>
      <c r="J14" s="666"/>
      <c r="K14" s="666"/>
      <c r="L14" s="666"/>
      <c r="M14" s="666"/>
    </row>
    <row r="15" spans="1:18" ht="18.5" x14ac:dyDescent="0.45">
      <c r="E15" s="668"/>
      <c r="F15" s="668"/>
      <c r="G15" s="668"/>
      <c r="H15" s="669" t="s">
        <v>39</v>
      </c>
      <c r="I15" s="670" t="s">
        <v>68</v>
      </c>
    </row>
    <row r="16" spans="1:18" ht="110.5" customHeight="1" x14ac:dyDescent="0.35">
      <c r="A16" s="671" t="s">
        <v>331</v>
      </c>
      <c r="B16" s="671" t="s">
        <v>332</v>
      </c>
      <c r="C16" s="672" t="s">
        <v>333</v>
      </c>
      <c r="D16" s="672" t="s">
        <v>334</v>
      </c>
      <c r="E16" s="672" t="s">
        <v>1696</v>
      </c>
      <c r="F16" s="672" t="s">
        <v>1697</v>
      </c>
      <c r="G16" s="672" t="s">
        <v>1698</v>
      </c>
      <c r="H16" s="673" t="s">
        <v>1696</v>
      </c>
      <c r="I16" s="674" t="s">
        <v>1696</v>
      </c>
    </row>
    <row r="17" spans="1:15" x14ac:dyDescent="0.35">
      <c r="A17" s="1264"/>
      <c r="B17" s="1265"/>
      <c r="C17" s="677">
        <f t="shared" ref="C17:C25" si="0">B17/1000</f>
        <v>0</v>
      </c>
      <c r="D17" s="677">
        <f>'Emission Factors'!$B$60*C17</f>
        <v>0</v>
      </c>
      <c r="E17" s="677">
        <f>D17*'Emission Factors'!$C$60*0.001</f>
        <v>0</v>
      </c>
      <c r="F17" s="677">
        <f>D17*'Emission Factors'!$D$60*0.001</f>
        <v>0</v>
      </c>
      <c r="G17" s="677">
        <f>D17*'Emission Factors'!$E$60*0.001</f>
        <v>0</v>
      </c>
      <c r="H17" s="678">
        <f>E17+F17+G17</f>
        <v>0</v>
      </c>
      <c r="I17" s="679">
        <f>D17*'Emission Factors'!$G$60*0.001</f>
        <v>0</v>
      </c>
      <c r="K17" s="633"/>
    </row>
    <row r="18" spans="1:15" x14ac:dyDescent="0.35">
      <c r="A18" s="675"/>
      <c r="B18" s="676"/>
      <c r="C18" s="677">
        <f t="shared" si="0"/>
        <v>0</v>
      </c>
      <c r="D18" s="677">
        <f>'Emission Factors'!$B$60*C18</f>
        <v>0</v>
      </c>
      <c r="E18" s="677">
        <f>D18*'Emission Factors'!$C$60*0.001</f>
        <v>0</v>
      </c>
      <c r="F18" s="677">
        <f>D18*'Emission Factors'!$D$60*0.001</f>
        <v>0</v>
      </c>
      <c r="G18" s="677">
        <f>D18*'Emission Factors'!$E$60*0.001</f>
        <v>0</v>
      </c>
      <c r="H18" s="678">
        <f t="shared" ref="H18:H26" si="1">E18+F18+G18</f>
        <v>0</v>
      </c>
      <c r="I18" s="679">
        <f>D18*'Emission Factors'!$G$60*0.001</f>
        <v>0</v>
      </c>
    </row>
    <row r="19" spans="1:15" x14ac:dyDescent="0.35">
      <c r="A19" s="675"/>
      <c r="B19" s="676"/>
      <c r="C19" s="677">
        <f t="shared" si="0"/>
        <v>0</v>
      </c>
      <c r="D19" s="677">
        <f>'Emission Factors'!$B$60*C19</f>
        <v>0</v>
      </c>
      <c r="E19" s="677">
        <f>D19*'Emission Factors'!$C$60*0.001</f>
        <v>0</v>
      </c>
      <c r="F19" s="677">
        <f>D19*'Emission Factors'!$D$60*0.001</f>
        <v>0</v>
      </c>
      <c r="G19" s="677">
        <f>D19*'Emission Factors'!$E$60*0.001</f>
        <v>0</v>
      </c>
      <c r="H19" s="678">
        <f t="shared" si="1"/>
        <v>0</v>
      </c>
      <c r="I19" s="679">
        <f>D19*'Emission Factors'!$G$60*0.001</f>
        <v>0</v>
      </c>
    </row>
    <row r="20" spans="1:15" x14ac:dyDescent="0.35">
      <c r="A20" s="675"/>
      <c r="B20" s="676"/>
      <c r="C20" s="677">
        <f t="shared" si="0"/>
        <v>0</v>
      </c>
      <c r="D20" s="677">
        <f>'Emission Factors'!$B$60*C20</f>
        <v>0</v>
      </c>
      <c r="E20" s="677">
        <f>D20*'Emission Factors'!$C$60*0.001</f>
        <v>0</v>
      </c>
      <c r="F20" s="677">
        <f>D20*'Emission Factors'!$D$60*0.001</f>
        <v>0</v>
      </c>
      <c r="G20" s="677">
        <f>D20*'Emission Factors'!$E$60*0.001</f>
        <v>0</v>
      </c>
      <c r="H20" s="678">
        <f t="shared" si="1"/>
        <v>0</v>
      </c>
      <c r="I20" s="679">
        <f>D20*'Emission Factors'!$G$60*0.001</f>
        <v>0</v>
      </c>
    </row>
    <row r="21" spans="1:15" x14ac:dyDescent="0.35">
      <c r="A21" s="675"/>
      <c r="B21" s="676"/>
      <c r="C21" s="677">
        <f t="shared" si="0"/>
        <v>0</v>
      </c>
      <c r="D21" s="677">
        <f>'Emission Factors'!$B$60*C21</f>
        <v>0</v>
      </c>
      <c r="E21" s="677">
        <f>D21*'Emission Factors'!$C$60*0.001</f>
        <v>0</v>
      </c>
      <c r="F21" s="677">
        <f>D21*'Emission Factors'!$D$60*0.001</f>
        <v>0</v>
      </c>
      <c r="G21" s="677">
        <f>D21*'Emission Factors'!$E$60*0.001</f>
        <v>0</v>
      </c>
      <c r="H21" s="678">
        <f t="shared" si="1"/>
        <v>0</v>
      </c>
      <c r="I21" s="679">
        <f>D21*'Emission Factors'!$G$60*0.001</f>
        <v>0</v>
      </c>
    </row>
    <row r="22" spans="1:15" x14ac:dyDescent="0.35">
      <c r="A22" s="675"/>
      <c r="B22" s="676"/>
      <c r="C22" s="677">
        <f t="shared" si="0"/>
        <v>0</v>
      </c>
      <c r="D22" s="677">
        <f>'Emission Factors'!$B$60*C22</f>
        <v>0</v>
      </c>
      <c r="E22" s="677">
        <f>D22*'Emission Factors'!$C$60*0.001</f>
        <v>0</v>
      </c>
      <c r="F22" s="677">
        <f>D22*'Emission Factors'!$D$60*0.001</f>
        <v>0</v>
      </c>
      <c r="G22" s="677">
        <f>D22*'Emission Factors'!$E$60*0.001</f>
        <v>0</v>
      </c>
      <c r="H22" s="678">
        <f t="shared" si="1"/>
        <v>0</v>
      </c>
      <c r="I22" s="679">
        <f>D22*'Emission Factors'!$G$60*0.001</f>
        <v>0</v>
      </c>
    </row>
    <row r="23" spans="1:15" x14ac:dyDescent="0.35">
      <c r="A23" s="675"/>
      <c r="B23" s="676"/>
      <c r="C23" s="677">
        <f t="shared" si="0"/>
        <v>0</v>
      </c>
      <c r="D23" s="677">
        <f>'Emission Factors'!$B$60*C23</f>
        <v>0</v>
      </c>
      <c r="E23" s="677">
        <f>D23*'Emission Factors'!$C$60*0.001</f>
        <v>0</v>
      </c>
      <c r="F23" s="677">
        <f>D23*'Emission Factors'!$D$60*0.001</f>
        <v>0</v>
      </c>
      <c r="G23" s="677">
        <f>D23*'Emission Factors'!$E$60*0.001</f>
        <v>0</v>
      </c>
      <c r="H23" s="678">
        <f t="shared" si="1"/>
        <v>0</v>
      </c>
      <c r="I23" s="679">
        <f>D23*'Emission Factors'!$G$60*0.001</f>
        <v>0</v>
      </c>
    </row>
    <row r="24" spans="1:15" x14ac:dyDescent="0.35">
      <c r="A24" s="675"/>
      <c r="B24" s="676"/>
      <c r="C24" s="677">
        <f t="shared" si="0"/>
        <v>0</v>
      </c>
      <c r="D24" s="677">
        <f>'Emission Factors'!$B$60*C24</f>
        <v>0</v>
      </c>
      <c r="E24" s="677">
        <f>D24*'Emission Factors'!$C$60*0.001</f>
        <v>0</v>
      </c>
      <c r="F24" s="677">
        <f>D24*'Emission Factors'!$D$60*0.001</f>
        <v>0</v>
      </c>
      <c r="G24" s="677">
        <f>D24*'Emission Factors'!$E$60*0.001</f>
        <v>0</v>
      </c>
      <c r="H24" s="678">
        <f t="shared" si="1"/>
        <v>0</v>
      </c>
      <c r="I24" s="679">
        <f>D24*'Emission Factors'!$G$60*0.001</f>
        <v>0</v>
      </c>
    </row>
    <row r="25" spans="1:15" x14ac:dyDescent="0.35">
      <c r="A25" s="675"/>
      <c r="B25" s="676"/>
      <c r="C25" s="677">
        <f t="shared" si="0"/>
        <v>0</v>
      </c>
      <c r="D25" s="677">
        <f>'Emission Factors'!$B$60*C25</f>
        <v>0</v>
      </c>
      <c r="E25" s="677">
        <f>D25*'Emission Factors'!$C$60*0.001</f>
        <v>0</v>
      </c>
      <c r="F25" s="677">
        <f>D25*'Emission Factors'!$D$60*0.001</f>
        <v>0</v>
      </c>
      <c r="G25" s="677">
        <f>D25*'Emission Factors'!$E$60*0.001</f>
        <v>0</v>
      </c>
      <c r="H25" s="678">
        <f t="shared" si="1"/>
        <v>0</v>
      </c>
      <c r="I25" s="679">
        <f>D25*'Emission Factors'!$G$60*0.001</f>
        <v>0</v>
      </c>
    </row>
    <row r="26" spans="1:15" ht="16" thickBot="1" x14ac:dyDescent="0.4">
      <c r="A26" s="675"/>
      <c r="B26" s="676"/>
      <c r="C26" s="677">
        <f>B26/1000</f>
        <v>0</v>
      </c>
      <c r="D26" s="677">
        <f>'Emission Factors'!$B$60*C26</f>
        <v>0</v>
      </c>
      <c r="E26" s="677">
        <f>D26*'Emission Factors'!$C$60*0.001</f>
        <v>0</v>
      </c>
      <c r="F26" s="677">
        <f>D26*'Emission Factors'!$D$60*0.001</f>
        <v>0</v>
      </c>
      <c r="G26" s="677">
        <f>D26*'Emission Factors'!$E$60*0.001</f>
        <v>0</v>
      </c>
      <c r="H26" s="680">
        <f t="shared" si="1"/>
        <v>0</v>
      </c>
      <c r="I26" s="679">
        <f>D26*'Emission Factors'!$G$60*0.001</f>
        <v>0</v>
      </c>
    </row>
    <row r="27" spans="1:15" s="667" customFormat="1" ht="27" customHeight="1" thickBot="1" x14ac:dyDescent="0.6">
      <c r="B27" s="683"/>
      <c r="C27" s="683"/>
      <c r="D27" s="683"/>
      <c r="E27" s="666"/>
      <c r="F27" s="683"/>
      <c r="G27" s="684" t="s">
        <v>1699</v>
      </c>
      <c r="H27" s="685">
        <f>SUM(H17:H26)</f>
        <v>0</v>
      </c>
      <c r="I27" s="686">
        <f>SUM(I17:I26)</f>
        <v>0</v>
      </c>
      <c r="J27" s="666"/>
      <c r="K27" s="666"/>
      <c r="L27" s="666"/>
      <c r="M27" s="666"/>
      <c r="N27" s="666"/>
      <c r="O27" s="683"/>
    </row>
    <row r="28" spans="1:15" s="689" customFormat="1" ht="23.5" x14ac:dyDescent="0.35">
      <c r="A28" s="682" t="s">
        <v>335</v>
      </c>
    </row>
    <row r="29" spans="1:15" s="664" customFormat="1" ht="36" x14ac:dyDescent="0.8">
      <c r="A29" s="1474" t="s">
        <v>337</v>
      </c>
      <c r="B29" s="1475"/>
      <c r="C29" s="1476"/>
    </row>
    <row r="30" spans="1:15" s="667" customFormat="1" ht="24" customHeight="1" thickBot="1" x14ac:dyDescent="0.6">
      <c r="A30" s="1474" t="s">
        <v>338</v>
      </c>
      <c r="B30" s="1475"/>
      <c r="C30" s="1476"/>
      <c r="D30" s="1477" t="s">
        <v>330</v>
      </c>
      <c r="E30" s="1478"/>
      <c r="F30" s="690"/>
      <c r="H30" s="691"/>
      <c r="I30" s="666"/>
      <c r="J30" s="666"/>
      <c r="K30" s="666"/>
      <c r="L30" s="666"/>
      <c r="M30" s="666"/>
    </row>
    <row r="31" spans="1:15" ht="18.5" x14ac:dyDescent="0.45">
      <c r="E31" s="668"/>
      <c r="F31" s="668"/>
      <c r="G31" s="668"/>
      <c r="H31" s="669" t="s">
        <v>39</v>
      </c>
      <c r="I31" s="670" t="s">
        <v>68</v>
      </c>
    </row>
    <row r="32" spans="1:15" ht="110.5" customHeight="1" x14ac:dyDescent="0.35">
      <c r="A32" s="671" t="s">
        <v>331</v>
      </c>
      <c r="B32" s="671" t="s">
        <v>339</v>
      </c>
      <c r="C32" s="671" t="s">
        <v>1702</v>
      </c>
      <c r="D32" s="672" t="s">
        <v>334</v>
      </c>
      <c r="E32" s="672" t="s">
        <v>1696</v>
      </c>
      <c r="F32" s="672" t="s">
        <v>1697</v>
      </c>
      <c r="G32" s="672" t="s">
        <v>1698</v>
      </c>
      <c r="H32" s="673" t="s">
        <v>1696</v>
      </c>
      <c r="I32" s="674" t="s">
        <v>1696</v>
      </c>
    </row>
    <row r="33" spans="1:18" x14ac:dyDescent="0.35">
      <c r="A33" s="675"/>
      <c r="B33" s="1266"/>
      <c r="C33" s="677">
        <f>(B33/'Emission Factors'!$F$86)/1000</f>
        <v>0</v>
      </c>
      <c r="D33" s="677">
        <f>'Emission Factors'!$B$60*C33</f>
        <v>0</v>
      </c>
      <c r="E33" s="677">
        <f>D33*'Emission Factors'!$C$60*0.001</f>
        <v>0</v>
      </c>
      <c r="F33" s="677">
        <f>D33*'Emission Factors'!$D$60*0.001</f>
        <v>0</v>
      </c>
      <c r="G33" s="677">
        <f>D33*'Emission Factors'!$E$60*0.001</f>
        <v>0</v>
      </c>
      <c r="H33" s="678">
        <f>E33+F33+G33</f>
        <v>0</v>
      </c>
      <c r="I33" s="679">
        <f>D33*'Emission Factors'!$G$60*0.001</f>
        <v>0</v>
      </c>
    </row>
    <row r="34" spans="1:18" x14ac:dyDescent="0.35">
      <c r="A34" s="675"/>
      <c r="B34" s="692"/>
      <c r="C34" s="677">
        <f>(B34/'Emission Factors'!$F$86)/1000</f>
        <v>0</v>
      </c>
      <c r="D34" s="677">
        <f>'Emission Factors'!$B$60*C34</f>
        <v>0</v>
      </c>
      <c r="E34" s="677">
        <f>D34*'Emission Factors'!$C$60*0.001</f>
        <v>0</v>
      </c>
      <c r="F34" s="677">
        <f>D34*'Emission Factors'!$D$60*0.001</f>
        <v>0</v>
      </c>
      <c r="G34" s="677">
        <f>D34*'Emission Factors'!$E$60*0.001</f>
        <v>0</v>
      </c>
      <c r="H34" s="678">
        <f t="shared" ref="H34:H42" si="2">E34+F34+G34</f>
        <v>0</v>
      </c>
      <c r="I34" s="679">
        <f>D34*'Emission Factors'!$G$60*0.001</f>
        <v>0</v>
      </c>
    </row>
    <row r="35" spans="1:18" x14ac:dyDescent="0.35">
      <c r="A35" s="675"/>
      <c r="B35" s="692"/>
      <c r="C35" s="677">
        <f>(B35/'Emission Factors'!$F$86)/1000</f>
        <v>0</v>
      </c>
      <c r="D35" s="677">
        <f>'Emission Factors'!$B$60*C35</f>
        <v>0</v>
      </c>
      <c r="E35" s="677">
        <f>D35*'Emission Factors'!$C$60*0.001</f>
        <v>0</v>
      </c>
      <c r="F35" s="677">
        <f>D35*'Emission Factors'!$D$60*0.001</f>
        <v>0</v>
      </c>
      <c r="G35" s="677">
        <f>D35*'Emission Factors'!$E$60*0.001</f>
        <v>0</v>
      </c>
      <c r="H35" s="678">
        <f t="shared" si="2"/>
        <v>0</v>
      </c>
      <c r="I35" s="679">
        <f>D35*'Emission Factors'!$G$60*0.001</f>
        <v>0</v>
      </c>
    </row>
    <row r="36" spans="1:18" x14ac:dyDescent="0.35">
      <c r="A36" s="675"/>
      <c r="B36" s="692"/>
      <c r="C36" s="677">
        <f>(B36/'Emission Factors'!$F$86)/1000</f>
        <v>0</v>
      </c>
      <c r="D36" s="677">
        <f>'Emission Factors'!$B$60*C36</f>
        <v>0</v>
      </c>
      <c r="E36" s="677">
        <f>D36*'Emission Factors'!$C$60*0.001</f>
        <v>0</v>
      </c>
      <c r="F36" s="677">
        <f>D36*'Emission Factors'!$D$60*0.001</f>
        <v>0</v>
      </c>
      <c r="G36" s="677">
        <f>D36*'Emission Factors'!$E$60*0.001</f>
        <v>0</v>
      </c>
      <c r="H36" s="678">
        <f t="shared" si="2"/>
        <v>0</v>
      </c>
      <c r="I36" s="679">
        <f>D36*'Emission Factors'!$G$60*0.001</f>
        <v>0</v>
      </c>
    </row>
    <row r="37" spans="1:18" x14ac:dyDescent="0.35">
      <c r="A37" s="675"/>
      <c r="B37" s="692"/>
      <c r="C37" s="677">
        <f>(B37/'Emission Factors'!$F$86)/1000</f>
        <v>0</v>
      </c>
      <c r="D37" s="677">
        <f>'Emission Factors'!$B$60*C37</f>
        <v>0</v>
      </c>
      <c r="E37" s="677">
        <f>D37*'Emission Factors'!$C$60*0.001</f>
        <v>0</v>
      </c>
      <c r="F37" s="677">
        <f>D37*'Emission Factors'!$D$60*0.001</f>
        <v>0</v>
      </c>
      <c r="G37" s="677">
        <f>D37*'Emission Factors'!$E$60*0.001</f>
        <v>0</v>
      </c>
      <c r="H37" s="678">
        <f t="shared" si="2"/>
        <v>0</v>
      </c>
      <c r="I37" s="679">
        <f>D37*'Emission Factors'!$G$60*0.001</f>
        <v>0</v>
      </c>
    </row>
    <row r="38" spans="1:18" x14ac:dyDescent="0.35">
      <c r="A38" s="675"/>
      <c r="B38" s="692"/>
      <c r="C38" s="677">
        <f>(B38/'Emission Factors'!$F$86)/1000</f>
        <v>0</v>
      </c>
      <c r="D38" s="677">
        <f>'Emission Factors'!$B$60*C38</f>
        <v>0</v>
      </c>
      <c r="E38" s="677">
        <f>D38*'Emission Factors'!$C$60*0.001</f>
        <v>0</v>
      </c>
      <c r="F38" s="677">
        <f>D38*'Emission Factors'!$D$60*0.001</f>
        <v>0</v>
      </c>
      <c r="G38" s="677">
        <f>D38*'Emission Factors'!$E$60*0.001</f>
        <v>0</v>
      </c>
      <c r="H38" s="678">
        <f t="shared" si="2"/>
        <v>0</v>
      </c>
      <c r="I38" s="679">
        <f>D38*'Emission Factors'!$G$60*0.001</f>
        <v>0</v>
      </c>
    </row>
    <row r="39" spans="1:18" x14ac:dyDescent="0.35">
      <c r="A39" s="675"/>
      <c r="B39" s="692"/>
      <c r="C39" s="677">
        <f>(B39/'Emission Factors'!$F$86)/1000</f>
        <v>0</v>
      </c>
      <c r="D39" s="677">
        <f>'Emission Factors'!$B$60*C39</f>
        <v>0</v>
      </c>
      <c r="E39" s="677">
        <f>D39*'Emission Factors'!$C$60*0.001</f>
        <v>0</v>
      </c>
      <c r="F39" s="677">
        <f>D39*'Emission Factors'!$D$60*0.001</f>
        <v>0</v>
      </c>
      <c r="G39" s="677">
        <f>D39*'Emission Factors'!$E$60*0.001</f>
        <v>0</v>
      </c>
      <c r="H39" s="678">
        <f t="shared" si="2"/>
        <v>0</v>
      </c>
      <c r="I39" s="679">
        <f>D39*'Emission Factors'!$G$60*0.001</f>
        <v>0</v>
      </c>
    </row>
    <row r="40" spans="1:18" x14ac:dyDescent="0.35">
      <c r="A40" s="675"/>
      <c r="B40" s="692"/>
      <c r="C40" s="677">
        <f>(B40/'Emission Factors'!$F$86)/1000</f>
        <v>0</v>
      </c>
      <c r="D40" s="677">
        <f>'Emission Factors'!$B$60*C40</f>
        <v>0</v>
      </c>
      <c r="E40" s="677">
        <f>D40*'Emission Factors'!$C$60*0.001</f>
        <v>0</v>
      </c>
      <c r="F40" s="677">
        <f>D40*'Emission Factors'!$D$60*0.001</f>
        <v>0</v>
      </c>
      <c r="G40" s="677">
        <f>D40*'Emission Factors'!$E$60*0.001</f>
        <v>0</v>
      </c>
      <c r="H40" s="678">
        <f t="shared" si="2"/>
        <v>0</v>
      </c>
      <c r="I40" s="679">
        <f>D40*'Emission Factors'!$G$60*0.001</f>
        <v>0</v>
      </c>
    </row>
    <row r="41" spans="1:18" x14ac:dyDescent="0.35">
      <c r="A41" s="675"/>
      <c r="B41" s="692"/>
      <c r="C41" s="677">
        <f>(B41/'Emission Factors'!$F$86)/1000</f>
        <v>0</v>
      </c>
      <c r="D41" s="677">
        <f>'Emission Factors'!$B$60*C41</f>
        <v>0</v>
      </c>
      <c r="E41" s="677">
        <f>D41*'Emission Factors'!$C$60*0.001</f>
        <v>0</v>
      </c>
      <c r="F41" s="677">
        <f>D41*'Emission Factors'!$D$60*0.001</f>
        <v>0</v>
      </c>
      <c r="G41" s="677">
        <f>D41*'Emission Factors'!$E$60*0.001</f>
        <v>0</v>
      </c>
      <c r="H41" s="678">
        <f t="shared" si="2"/>
        <v>0</v>
      </c>
      <c r="I41" s="679">
        <f>D41*'Emission Factors'!$G$60*0.001</f>
        <v>0</v>
      </c>
    </row>
    <row r="42" spans="1:18" ht="16" thickBot="1" x14ac:dyDescent="0.4">
      <c r="A42" s="675"/>
      <c r="B42" s="692"/>
      <c r="C42" s="677">
        <f>(B42/'Emission Factors'!$F$86)/1000</f>
        <v>0</v>
      </c>
      <c r="D42" s="677">
        <f>'Emission Factors'!$B$60*C42</f>
        <v>0</v>
      </c>
      <c r="E42" s="677">
        <f>D42*'Emission Factors'!$C$60*0.001</f>
        <v>0</v>
      </c>
      <c r="F42" s="677">
        <f>D42*'Emission Factors'!$D$60*0.001</f>
        <v>0</v>
      </c>
      <c r="G42" s="677">
        <f>D42*'Emission Factors'!$E$60*0.001</f>
        <v>0</v>
      </c>
      <c r="H42" s="678">
        <f t="shared" si="2"/>
        <v>0</v>
      </c>
      <c r="I42" s="679">
        <f>D42*'Emission Factors'!$G$60*0.001</f>
        <v>0</v>
      </c>
    </row>
    <row r="43" spans="1:18" ht="16" thickBot="1" x14ac:dyDescent="0.4">
      <c r="A43" s="693"/>
      <c r="G43" s="684" t="s">
        <v>1699</v>
      </c>
      <c r="H43" s="685">
        <f>SUM(H33:H42)</f>
        <v>0</v>
      </c>
      <c r="I43" s="686">
        <f>SUM(I33:I42)</f>
        <v>0</v>
      </c>
    </row>
    <row r="44" spans="1:18" s="667" customFormat="1" ht="23.5" x14ac:dyDescent="0.55000000000000004"/>
    <row r="45" spans="1:18" s="667" customFormat="1" ht="24" customHeight="1" thickBot="1" x14ac:dyDescent="0.6">
      <c r="A45" s="1474" t="s">
        <v>342</v>
      </c>
      <c r="B45" s="1475"/>
      <c r="C45" s="1476"/>
      <c r="D45" s="1477" t="s">
        <v>330</v>
      </c>
      <c r="E45" s="1478"/>
      <c r="F45" s="665"/>
      <c r="G45" s="666"/>
      <c r="H45" s="666"/>
      <c r="I45" s="666"/>
      <c r="J45" s="666"/>
      <c r="K45" s="666"/>
      <c r="L45" s="666"/>
      <c r="M45" s="666"/>
      <c r="P45" s="690"/>
      <c r="R45" s="691"/>
    </row>
    <row r="46" spans="1:18" ht="18.5" x14ac:dyDescent="0.45">
      <c r="E46" s="668"/>
      <c r="F46" s="668"/>
      <c r="G46" s="668"/>
      <c r="H46" s="669" t="s">
        <v>39</v>
      </c>
      <c r="I46" s="670" t="s">
        <v>68</v>
      </c>
    </row>
    <row r="47" spans="1:18" ht="110.5" customHeight="1" x14ac:dyDescent="0.35">
      <c r="A47" s="671" t="s">
        <v>331</v>
      </c>
      <c r="B47" s="671" t="s">
        <v>339</v>
      </c>
      <c r="C47" s="671" t="s">
        <v>1702</v>
      </c>
      <c r="D47" s="672" t="s">
        <v>334</v>
      </c>
      <c r="E47" s="672" t="s">
        <v>1696</v>
      </c>
      <c r="F47" s="672" t="s">
        <v>1697</v>
      </c>
      <c r="G47" s="672" t="s">
        <v>1698</v>
      </c>
      <c r="H47" s="673" t="s">
        <v>1696</v>
      </c>
      <c r="I47" s="674" t="s">
        <v>1696</v>
      </c>
    </row>
    <row r="48" spans="1:18" x14ac:dyDescent="0.35">
      <c r="A48" s="675"/>
      <c r="B48" s="692"/>
      <c r="C48" s="677">
        <f>(B48/'Emission Factors'!$F$87)/1000</f>
        <v>0</v>
      </c>
      <c r="D48" s="677">
        <f>'Emission Factors'!$B$60*C48</f>
        <v>0</v>
      </c>
      <c r="E48" s="677">
        <f>D48*'Emission Factors'!$C$60*0.001</f>
        <v>0</v>
      </c>
      <c r="F48" s="677">
        <f>D48*'Emission Factors'!$D$60*0.001</f>
        <v>0</v>
      </c>
      <c r="G48" s="677">
        <f>D48*'Emission Factors'!$E$60*0.001</f>
        <v>0</v>
      </c>
      <c r="H48" s="678">
        <f>E48+F48+G48</f>
        <v>0</v>
      </c>
      <c r="I48" s="679">
        <f>D48*'Emission Factors'!$G$60*0.001</f>
        <v>0</v>
      </c>
    </row>
    <row r="49" spans="1:13" x14ac:dyDescent="0.35">
      <c r="A49" s="675"/>
      <c r="B49" s="692"/>
      <c r="C49" s="677">
        <f>(B49/'Emission Factors'!$F$87)/1000</f>
        <v>0</v>
      </c>
      <c r="D49" s="677">
        <f>'Emission Factors'!$B$60*C49</f>
        <v>0</v>
      </c>
      <c r="E49" s="677">
        <f>D49*'Emission Factors'!$C$60*0.001</f>
        <v>0</v>
      </c>
      <c r="F49" s="677">
        <f>D49*'Emission Factors'!$D$60*0.001</f>
        <v>0</v>
      </c>
      <c r="G49" s="677">
        <f>D49*'Emission Factors'!$E$60*0.001</f>
        <v>0</v>
      </c>
      <c r="H49" s="678">
        <f t="shared" ref="H49:H57" si="3">E49+F49+G49</f>
        <v>0</v>
      </c>
      <c r="I49" s="679">
        <f>D49*'Emission Factors'!$G$60*0.001</f>
        <v>0</v>
      </c>
    </row>
    <row r="50" spans="1:13" x14ac:dyDescent="0.35">
      <c r="A50" s="675"/>
      <c r="B50" s="692"/>
      <c r="C50" s="677">
        <f>(B50/'Emission Factors'!$F$87)/1000</f>
        <v>0</v>
      </c>
      <c r="D50" s="677">
        <f>'Emission Factors'!$B$60*C50</f>
        <v>0</v>
      </c>
      <c r="E50" s="677">
        <f>D50*'Emission Factors'!$C$60*0.001</f>
        <v>0</v>
      </c>
      <c r="F50" s="677">
        <f>D50*'Emission Factors'!$D$60*0.001</f>
        <v>0</v>
      </c>
      <c r="G50" s="677">
        <f>D50*'Emission Factors'!$E$60*0.001</f>
        <v>0</v>
      </c>
      <c r="H50" s="678">
        <f t="shared" si="3"/>
        <v>0</v>
      </c>
      <c r="I50" s="679">
        <f>D50*'Emission Factors'!$G$60*0.001</f>
        <v>0</v>
      </c>
    </row>
    <row r="51" spans="1:13" x14ac:dyDescent="0.35">
      <c r="A51" s="675"/>
      <c r="B51" s="692"/>
      <c r="C51" s="677">
        <f>(B51/'Emission Factors'!$F$87)/1000</f>
        <v>0</v>
      </c>
      <c r="D51" s="677">
        <f>'Emission Factors'!$B$60*C51</f>
        <v>0</v>
      </c>
      <c r="E51" s="677">
        <f>D51*'Emission Factors'!$C$60*0.001</f>
        <v>0</v>
      </c>
      <c r="F51" s="677">
        <f>D51*'Emission Factors'!$D$60*0.001</f>
        <v>0</v>
      </c>
      <c r="G51" s="677">
        <f>D51*'Emission Factors'!$E$60*0.001</f>
        <v>0</v>
      </c>
      <c r="H51" s="678">
        <f t="shared" si="3"/>
        <v>0</v>
      </c>
      <c r="I51" s="679">
        <f>D51*'Emission Factors'!$G$60*0.001</f>
        <v>0</v>
      </c>
    </row>
    <row r="52" spans="1:13" x14ac:dyDescent="0.35">
      <c r="A52" s="675"/>
      <c r="B52" s="692"/>
      <c r="C52" s="677">
        <f>(B52/'Emission Factors'!$F$87)/1000</f>
        <v>0</v>
      </c>
      <c r="D52" s="677">
        <f>'Emission Factors'!$B$60*C52</f>
        <v>0</v>
      </c>
      <c r="E52" s="677">
        <f>D52*'Emission Factors'!$C$60*0.001</f>
        <v>0</v>
      </c>
      <c r="F52" s="677">
        <f>D52*'Emission Factors'!$D$60*0.001</f>
        <v>0</v>
      </c>
      <c r="G52" s="677">
        <f>D52*'Emission Factors'!$E$60*0.001</f>
        <v>0</v>
      </c>
      <c r="H52" s="678">
        <f t="shared" si="3"/>
        <v>0</v>
      </c>
      <c r="I52" s="679">
        <f>D52*'Emission Factors'!$G$60*0.001</f>
        <v>0</v>
      </c>
    </row>
    <row r="53" spans="1:13" x14ac:dyDescent="0.35">
      <c r="A53" s="675"/>
      <c r="B53" s="692"/>
      <c r="C53" s="677">
        <f>(B53/'Emission Factors'!$F$87)/1000</f>
        <v>0</v>
      </c>
      <c r="D53" s="677">
        <f>'Emission Factors'!$B$60*C53</f>
        <v>0</v>
      </c>
      <c r="E53" s="677">
        <f>D53*'Emission Factors'!$C$60*0.001</f>
        <v>0</v>
      </c>
      <c r="F53" s="677">
        <f>D53*'Emission Factors'!$D$60*0.001</f>
        <v>0</v>
      </c>
      <c r="G53" s="677">
        <f>D53*'Emission Factors'!$E$60*0.001</f>
        <v>0</v>
      </c>
      <c r="H53" s="678">
        <f t="shared" si="3"/>
        <v>0</v>
      </c>
      <c r="I53" s="679">
        <f>D53*'Emission Factors'!$G$60*0.001</f>
        <v>0</v>
      </c>
    </row>
    <row r="54" spans="1:13" x14ac:dyDescent="0.35">
      <c r="A54" s="675"/>
      <c r="B54" s="692"/>
      <c r="C54" s="677">
        <f>(B54/'Emission Factors'!$F$87)/1000</f>
        <v>0</v>
      </c>
      <c r="D54" s="677">
        <f>'Emission Factors'!$B$60*C54</f>
        <v>0</v>
      </c>
      <c r="E54" s="677">
        <f>D54*'Emission Factors'!$C$60*0.001</f>
        <v>0</v>
      </c>
      <c r="F54" s="677">
        <f>D54*'Emission Factors'!$D$60*0.001</f>
        <v>0</v>
      </c>
      <c r="G54" s="677">
        <f>D54*'Emission Factors'!$E$60*0.001</f>
        <v>0</v>
      </c>
      <c r="H54" s="678">
        <f t="shared" si="3"/>
        <v>0</v>
      </c>
      <c r="I54" s="679">
        <f>D54*'Emission Factors'!$G$60*0.001</f>
        <v>0</v>
      </c>
    </row>
    <row r="55" spans="1:13" x14ac:dyDescent="0.35">
      <c r="A55" s="675"/>
      <c r="B55" s="692"/>
      <c r="C55" s="677">
        <f>(B55/'Emission Factors'!$F$87)/1000</f>
        <v>0</v>
      </c>
      <c r="D55" s="677">
        <f>'Emission Factors'!$B$60*C55</f>
        <v>0</v>
      </c>
      <c r="E55" s="677">
        <f>D55*'Emission Factors'!$C$60*0.001</f>
        <v>0</v>
      </c>
      <c r="F55" s="677">
        <f>D55*'Emission Factors'!$D$60*0.001</f>
        <v>0</v>
      </c>
      <c r="G55" s="677">
        <f>D55*'Emission Factors'!$E$60*0.001</f>
        <v>0</v>
      </c>
      <c r="H55" s="678">
        <f t="shared" si="3"/>
        <v>0</v>
      </c>
      <c r="I55" s="679">
        <f>D55*'Emission Factors'!$G$60*0.001</f>
        <v>0</v>
      </c>
    </row>
    <row r="56" spans="1:13" x14ac:dyDescent="0.35">
      <c r="A56" s="675"/>
      <c r="B56" s="692"/>
      <c r="C56" s="677">
        <f>(B56/'Emission Factors'!$F$87)/1000</f>
        <v>0</v>
      </c>
      <c r="D56" s="677">
        <f>'Emission Factors'!$B$60*C56</f>
        <v>0</v>
      </c>
      <c r="E56" s="677">
        <f>D56*'Emission Factors'!$C$60*0.001</f>
        <v>0</v>
      </c>
      <c r="F56" s="677">
        <f>D56*'Emission Factors'!$D$60*0.001</f>
        <v>0</v>
      </c>
      <c r="G56" s="677">
        <f>D56*'Emission Factors'!$E$60*0.001</f>
        <v>0</v>
      </c>
      <c r="H56" s="678">
        <f t="shared" si="3"/>
        <v>0</v>
      </c>
      <c r="I56" s="679">
        <f>D56*'Emission Factors'!$G$60*0.001</f>
        <v>0</v>
      </c>
    </row>
    <row r="57" spans="1:13" ht="16" thickBot="1" x14ac:dyDescent="0.4">
      <c r="A57" s="675"/>
      <c r="B57" s="692"/>
      <c r="C57" s="677">
        <f>(B57/'Emission Factors'!$F$87)/1000</f>
        <v>0</v>
      </c>
      <c r="D57" s="677">
        <f>'Emission Factors'!$B$60*C57</f>
        <v>0</v>
      </c>
      <c r="E57" s="677">
        <f>D57*'Emission Factors'!$C$60*0.001</f>
        <v>0</v>
      </c>
      <c r="F57" s="677">
        <f>D57*'Emission Factors'!$D$60*0.001</f>
        <v>0</v>
      </c>
      <c r="G57" s="677">
        <f>D57*'Emission Factors'!$E$60*0.001</f>
        <v>0</v>
      </c>
      <c r="H57" s="678">
        <f t="shared" si="3"/>
        <v>0</v>
      </c>
      <c r="I57" s="679">
        <f>D57*'Emission Factors'!$G$60*0.001</f>
        <v>0</v>
      </c>
    </row>
    <row r="58" spans="1:13" ht="16" thickBot="1" x14ac:dyDescent="0.4">
      <c r="A58" s="693"/>
      <c r="G58" s="684" t="s">
        <v>1699</v>
      </c>
      <c r="H58" s="685">
        <f>SUM(H48:H57)</f>
        <v>0</v>
      </c>
      <c r="I58" s="686">
        <f>SUM(I48:I57)</f>
        <v>0</v>
      </c>
    </row>
    <row r="59" spans="1:13" ht="23.5" x14ac:dyDescent="0.35">
      <c r="A59" s="682" t="s">
        <v>335</v>
      </c>
    </row>
    <row r="60" spans="1:13" s="667" customFormat="1" ht="22.5" customHeight="1" thickBot="1" x14ac:dyDescent="0.6">
      <c r="A60" s="1474" t="s">
        <v>1762</v>
      </c>
      <c r="B60" s="1475"/>
      <c r="C60" s="1476"/>
      <c r="D60" s="1477" t="s">
        <v>330</v>
      </c>
      <c r="E60" s="1478"/>
      <c r="F60" s="665"/>
      <c r="G60" s="666"/>
      <c r="H60" s="666"/>
      <c r="I60" s="666"/>
      <c r="J60" s="666"/>
      <c r="K60" s="666"/>
      <c r="L60" s="666"/>
      <c r="M60" s="666"/>
    </row>
    <row r="61" spans="1:13" ht="18.5" x14ac:dyDescent="0.45">
      <c r="F61" s="668"/>
      <c r="G61" s="668"/>
      <c r="H61" s="668"/>
      <c r="I61" s="669" t="s">
        <v>39</v>
      </c>
      <c r="J61" s="670" t="s">
        <v>68</v>
      </c>
    </row>
    <row r="62" spans="1:13" ht="110.5" customHeight="1" x14ac:dyDescent="0.35">
      <c r="A62" s="671" t="s">
        <v>331</v>
      </c>
      <c r="B62" s="671" t="s">
        <v>1763</v>
      </c>
      <c r="C62" s="671" t="s">
        <v>336</v>
      </c>
      <c r="D62" s="672" t="s">
        <v>333</v>
      </c>
      <c r="E62" s="672" t="s">
        <v>334</v>
      </c>
      <c r="F62" s="672" t="s">
        <v>1696</v>
      </c>
      <c r="G62" s="672" t="s">
        <v>1697</v>
      </c>
      <c r="H62" s="672" t="s">
        <v>1698</v>
      </c>
      <c r="I62" s="673" t="s">
        <v>1696</v>
      </c>
      <c r="J62" s="674" t="s">
        <v>1696</v>
      </c>
    </row>
    <row r="63" spans="1:13" x14ac:dyDescent="0.35">
      <c r="A63" s="675"/>
      <c r="B63" s="687"/>
      <c r="C63" s="688">
        <f>B63/'Emission Factors'!$B$86</f>
        <v>0</v>
      </c>
      <c r="D63" s="677">
        <f>C63/1000</f>
        <v>0</v>
      </c>
      <c r="E63" s="677">
        <f>'Emission Factors'!$B$60*D63</f>
        <v>0</v>
      </c>
      <c r="F63" s="677">
        <f>E63*'Emission Factors'!$C$60*0.001</f>
        <v>0</v>
      </c>
      <c r="G63" s="677">
        <f>E63*'Emission Factors'!$D$60*0.001</f>
        <v>0</v>
      </c>
      <c r="H63" s="677">
        <f>E63*'Emission Factors'!$E$60*0.001</f>
        <v>0</v>
      </c>
      <c r="I63" s="678">
        <f>F63+G63+H63</f>
        <v>0</v>
      </c>
      <c r="J63" s="679">
        <f>E63*'Emission Factors'!$G$60*0.001</f>
        <v>0</v>
      </c>
    </row>
    <row r="64" spans="1:13" x14ac:dyDescent="0.35">
      <c r="A64" s="675"/>
      <c r="B64" s="687"/>
      <c r="C64" s="688">
        <f>B64/'Emission Factors'!$B$86</f>
        <v>0</v>
      </c>
      <c r="D64" s="677">
        <f t="shared" ref="D64:D71" si="4">C64/1000</f>
        <v>0</v>
      </c>
      <c r="E64" s="677">
        <f>'Emission Factors'!$B$60*D64</f>
        <v>0</v>
      </c>
      <c r="F64" s="677">
        <f>E64*'Emission Factors'!$C$60*0.001</f>
        <v>0</v>
      </c>
      <c r="G64" s="677">
        <f>E64*'Emission Factors'!$D$60*0.001</f>
        <v>0</v>
      </c>
      <c r="H64" s="677">
        <f>E64*'Emission Factors'!$E$60*0.001</f>
        <v>0</v>
      </c>
      <c r="I64" s="678">
        <f t="shared" ref="I64:I72" si="5">F64+G64+H64</f>
        <v>0</v>
      </c>
      <c r="J64" s="679">
        <f>E64*'Emission Factors'!$G$60*0.001</f>
        <v>0</v>
      </c>
    </row>
    <row r="65" spans="1:18" ht="15" customHeight="1" x14ac:dyDescent="0.35">
      <c r="A65" s="675"/>
      <c r="B65" s="687"/>
      <c r="C65" s="688">
        <f>B65/'Emission Factors'!$B$86</f>
        <v>0</v>
      </c>
      <c r="D65" s="677">
        <f t="shared" si="4"/>
        <v>0</v>
      </c>
      <c r="E65" s="677">
        <f>'Emission Factors'!$B$60*D65</f>
        <v>0</v>
      </c>
      <c r="F65" s="677">
        <f>E65*'Emission Factors'!$C$60*0.001</f>
        <v>0</v>
      </c>
      <c r="G65" s="677">
        <f>E65*'Emission Factors'!$D$60*0.001</f>
        <v>0</v>
      </c>
      <c r="H65" s="677">
        <f>E65*'Emission Factors'!$E$60*0.001</f>
        <v>0</v>
      </c>
      <c r="I65" s="678">
        <f t="shared" si="5"/>
        <v>0</v>
      </c>
      <c r="J65" s="679">
        <f>E65*'Emission Factors'!$G$60*0.001</f>
        <v>0</v>
      </c>
    </row>
    <row r="66" spans="1:18" ht="15" customHeight="1" x14ac:dyDescent="0.35">
      <c r="A66" s="675"/>
      <c r="B66" s="687"/>
      <c r="C66" s="688">
        <f>B66/'Emission Factors'!$B$86</f>
        <v>0</v>
      </c>
      <c r="D66" s="677">
        <f t="shared" si="4"/>
        <v>0</v>
      </c>
      <c r="E66" s="677">
        <f>'Emission Factors'!$B$60*D66</f>
        <v>0</v>
      </c>
      <c r="F66" s="677">
        <f>E66*'Emission Factors'!$C$60*0.001</f>
        <v>0</v>
      </c>
      <c r="G66" s="677">
        <f>E66*'Emission Factors'!$D$60*0.001</f>
        <v>0</v>
      </c>
      <c r="H66" s="677">
        <f>E66*'Emission Factors'!$E$60*0.001</f>
        <v>0</v>
      </c>
      <c r="I66" s="678">
        <f t="shared" si="5"/>
        <v>0</v>
      </c>
      <c r="J66" s="679">
        <f>E66*'Emission Factors'!$G$60*0.001</f>
        <v>0</v>
      </c>
    </row>
    <row r="67" spans="1:18" ht="15" customHeight="1" x14ac:dyDescent="0.35">
      <c r="A67" s="675"/>
      <c r="B67" s="687"/>
      <c r="C67" s="688">
        <f>B67/'Emission Factors'!$B$86</f>
        <v>0</v>
      </c>
      <c r="D67" s="677">
        <f t="shared" si="4"/>
        <v>0</v>
      </c>
      <c r="E67" s="677">
        <f>'Emission Factors'!$B$60*D67</f>
        <v>0</v>
      </c>
      <c r="F67" s="677">
        <f>E67*'Emission Factors'!$C$60*0.001</f>
        <v>0</v>
      </c>
      <c r="G67" s="677">
        <f>E67*'Emission Factors'!$D$60*0.001</f>
        <v>0</v>
      </c>
      <c r="H67" s="677">
        <f>E67*'Emission Factors'!$E$60*0.001</f>
        <v>0</v>
      </c>
      <c r="I67" s="678">
        <f t="shared" si="5"/>
        <v>0</v>
      </c>
      <c r="J67" s="679">
        <f>E67*'Emission Factors'!$G$60*0.001</f>
        <v>0</v>
      </c>
    </row>
    <row r="68" spans="1:18" ht="15" customHeight="1" x14ac:dyDescent="0.35">
      <c r="A68" s="675"/>
      <c r="B68" s="687"/>
      <c r="C68" s="688">
        <f>B68/'Emission Factors'!$B$86</f>
        <v>0</v>
      </c>
      <c r="D68" s="677">
        <f t="shared" si="4"/>
        <v>0</v>
      </c>
      <c r="E68" s="677">
        <f>'Emission Factors'!$B$60*D68</f>
        <v>0</v>
      </c>
      <c r="F68" s="677">
        <f>E68*'Emission Factors'!$C$60*0.001</f>
        <v>0</v>
      </c>
      <c r="G68" s="677">
        <f>E68*'Emission Factors'!$D$60*0.001</f>
        <v>0</v>
      </c>
      <c r="H68" s="677">
        <f>E68*'Emission Factors'!$E$60*0.001</f>
        <v>0</v>
      </c>
      <c r="I68" s="678">
        <f t="shared" si="5"/>
        <v>0</v>
      </c>
      <c r="J68" s="679">
        <f>E68*'Emission Factors'!$G$60*0.001</f>
        <v>0</v>
      </c>
    </row>
    <row r="69" spans="1:18" ht="15" customHeight="1" x14ac:dyDescent="0.35">
      <c r="A69" s="675"/>
      <c r="B69" s="687"/>
      <c r="C69" s="688">
        <f>B69/'Emission Factors'!$B$86</f>
        <v>0</v>
      </c>
      <c r="D69" s="677">
        <f t="shared" si="4"/>
        <v>0</v>
      </c>
      <c r="E69" s="677">
        <f>'Emission Factors'!$B$60*D69</f>
        <v>0</v>
      </c>
      <c r="F69" s="677">
        <f>E69*'Emission Factors'!$C$60*0.001</f>
        <v>0</v>
      </c>
      <c r="G69" s="677">
        <f>E69*'Emission Factors'!$D$60*0.001</f>
        <v>0</v>
      </c>
      <c r="H69" s="677">
        <f>E69*'Emission Factors'!$E$60*0.001</f>
        <v>0</v>
      </c>
      <c r="I69" s="678">
        <f t="shared" si="5"/>
        <v>0</v>
      </c>
      <c r="J69" s="679">
        <f>E69*'Emission Factors'!$G$60*0.001</f>
        <v>0</v>
      </c>
    </row>
    <row r="70" spans="1:18" ht="15" customHeight="1" x14ac:dyDescent="0.35">
      <c r="A70" s="675"/>
      <c r="B70" s="687"/>
      <c r="C70" s="688">
        <f>B70/'Emission Factors'!$B$86</f>
        <v>0</v>
      </c>
      <c r="D70" s="677">
        <f t="shared" si="4"/>
        <v>0</v>
      </c>
      <c r="E70" s="677">
        <f>'Emission Factors'!$B$60*D70</f>
        <v>0</v>
      </c>
      <c r="F70" s="677">
        <f>E70*'Emission Factors'!$C$60*0.001</f>
        <v>0</v>
      </c>
      <c r="G70" s="677">
        <f>E70*'Emission Factors'!$D$60*0.001</f>
        <v>0</v>
      </c>
      <c r="H70" s="677">
        <f>E70*'Emission Factors'!$E$60*0.001</f>
        <v>0</v>
      </c>
      <c r="I70" s="678">
        <f t="shared" si="5"/>
        <v>0</v>
      </c>
      <c r="J70" s="679">
        <f>E70*'Emission Factors'!$G$60*0.001</f>
        <v>0</v>
      </c>
    </row>
    <row r="71" spans="1:18" ht="15" customHeight="1" x14ac:dyDescent="0.35">
      <c r="A71" s="675"/>
      <c r="B71" s="687"/>
      <c r="C71" s="688">
        <f>B71/'Emission Factors'!$B$86</f>
        <v>0</v>
      </c>
      <c r="D71" s="677">
        <f t="shared" si="4"/>
        <v>0</v>
      </c>
      <c r="E71" s="677">
        <f>'Emission Factors'!$B$60*D71</f>
        <v>0</v>
      </c>
      <c r="F71" s="677">
        <f>E71*'Emission Factors'!$C$60*0.001</f>
        <v>0</v>
      </c>
      <c r="G71" s="677">
        <f>E71*'Emission Factors'!$D$60*0.001</f>
        <v>0</v>
      </c>
      <c r="H71" s="677">
        <f>E71*'Emission Factors'!$E$60*0.001</f>
        <v>0</v>
      </c>
      <c r="I71" s="678">
        <f t="shared" si="5"/>
        <v>0</v>
      </c>
      <c r="J71" s="679">
        <f>E71*'Emission Factors'!$G$60*0.001</f>
        <v>0</v>
      </c>
    </row>
    <row r="72" spans="1:18" ht="15" customHeight="1" thickBot="1" x14ac:dyDescent="0.4">
      <c r="A72" s="675"/>
      <c r="B72" s="687"/>
      <c r="C72" s="688">
        <f>B72/'Emission Factors'!$B$86</f>
        <v>0</v>
      </c>
      <c r="D72" s="677">
        <f>C72/1000</f>
        <v>0</v>
      </c>
      <c r="E72" s="677">
        <f>'Emission Factors'!$B$60*D72</f>
        <v>0</v>
      </c>
      <c r="F72" s="677">
        <f>E72*'Emission Factors'!$C$60*0.001</f>
        <v>0</v>
      </c>
      <c r="G72" s="677">
        <f>E72*'Emission Factors'!$D$60*0.001</f>
        <v>0</v>
      </c>
      <c r="H72" s="677">
        <f>E72*'Emission Factors'!$E$60*0.001</f>
        <v>0</v>
      </c>
      <c r="I72" s="678">
        <f t="shared" si="5"/>
        <v>0</v>
      </c>
      <c r="J72" s="679">
        <f>E72*'Emission Factors'!$G$60*0.001</f>
        <v>0</v>
      </c>
    </row>
    <row r="73" spans="1:18" ht="27.75" customHeight="1" thickBot="1" x14ac:dyDescent="0.4">
      <c r="H73" s="684" t="s">
        <v>1699</v>
      </c>
      <c r="I73" s="685">
        <f>SUM(I63:I72)</f>
        <v>0</v>
      </c>
      <c r="J73" s="686">
        <f>SUM(J63:J72)</f>
        <v>0</v>
      </c>
    </row>
    <row r="74" spans="1:18" customFormat="1" ht="27.75" customHeight="1" x14ac:dyDescent="0.35"/>
    <row r="75" spans="1:18" s="664" customFormat="1" ht="36" x14ac:dyDescent="0.8">
      <c r="A75" s="1463" t="s">
        <v>1914</v>
      </c>
      <c r="B75" s="1464"/>
      <c r="C75" s="1464"/>
      <c r="D75" s="1464"/>
      <c r="E75" s="1464"/>
      <c r="F75" s="1464"/>
      <c r="G75" s="1464"/>
      <c r="H75" s="1464"/>
      <c r="I75" s="1464"/>
      <c r="J75" s="1464"/>
      <c r="K75" s="1464"/>
      <c r="L75" s="1464"/>
      <c r="M75" s="1464"/>
      <c r="N75" s="1464"/>
      <c r="O75" s="1464"/>
      <c r="P75" s="1464"/>
      <c r="Q75" s="1464"/>
      <c r="R75" s="1464"/>
    </row>
    <row r="76" spans="1:18" s="667" customFormat="1" ht="24" thickBot="1" x14ac:dyDescent="0.6">
      <c r="A76" s="1474" t="s">
        <v>344</v>
      </c>
      <c r="B76" s="1475"/>
      <c r="C76" s="1476"/>
      <c r="D76" s="1477" t="s">
        <v>330</v>
      </c>
      <c r="E76" s="1478"/>
      <c r="F76" s="665"/>
      <c r="G76" s="666"/>
      <c r="H76" s="666"/>
      <c r="I76" s="666"/>
      <c r="J76" s="666"/>
      <c r="K76" s="666"/>
      <c r="L76" s="666"/>
      <c r="M76" s="666"/>
      <c r="N76" s="690"/>
      <c r="P76" s="691"/>
    </row>
    <row r="77" spans="1:18" ht="18.5" x14ac:dyDescent="0.45">
      <c r="E77" s="668"/>
      <c r="F77" s="668"/>
      <c r="G77" s="668"/>
      <c r="H77" s="669" t="s">
        <v>39</v>
      </c>
      <c r="I77" s="670" t="s">
        <v>68</v>
      </c>
    </row>
    <row r="78" spans="1:18" ht="110.5" customHeight="1" x14ac:dyDescent="0.35">
      <c r="A78" s="671" t="s">
        <v>331</v>
      </c>
      <c r="B78" s="671" t="s">
        <v>345</v>
      </c>
      <c r="C78" s="672" t="s">
        <v>333</v>
      </c>
      <c r="D78" s="672" t="s">
        <v>334</v>
      </c>
      <c r="E78" s="672" t="s">
        <v>1696</v>
      </c>
      <c r="F78" s="672" t="s">
        <v>1697</v>
      </c>
      <c r="G78" s="672" t="s">
        <v>1698</v>
      </c>
      <c r="H78" s="673" t="s">
        <v>1696</v>
      </c>
      <c r="I78" s="674" t="s">
        <v>1696</v>
      </c>
    </row>
    <row r="79" spans="1:18" x14ac:dyDescent="0.35">
      <c r="A79" s="675"/>
      <c r="B79" s="694"/>
      <c r="C79" s="677">
        <f t="shared" ref="C79:C87" si="6">B79/1000</f>
        <v>0</v>
      </c>
      <c r="D79" s="677">
        <f>'Emission Factors'!$B$65*C79</f>
        <v>0</v>
      </c>
      <c r="E79" s="677">
        <f>D79*'Emission Factors'!$C$65*0.001</f>
        <v>0</v>
      </c>
      <c r="F79" s="677">
        <f>E79*'Emission Factors'!$D$65*0.001</f>
        <v>0</v>
      </c>
      <c r="G79" s="677">
        <f>F79*'Emission Factors'!$E$65*0.001</f>
        <v>0</v>
      </c>
      <c r="H79" s="678">
        <f t="shared" ref="H79:H88" si="7">E79+F79+G79</f>
        <v>0</v>
      </c>
      <c r="I79" s="679">
        <f>D79*'Emission Factors'!$G$65*0.001</f>
        <v>0</v>
      </c>
    </row>
    <row r="80" spans="1:18" x14ac:dyDescent="0.35">
      <c r="A80" s="675"/>
      <c r="B80" s="694"/>
      <c r="C80" s="677">
        <f t="shared" si="6"/>
        <v>0</v>
      </c>
      <c r="D80" s="677">
        <f>'Emission Factors'!$B$65*C80</f>
        <v>0</v>
      </c>
      <c r="E80" s="677">
        <f>D80*'Emission Factors'!$C$65*0.001</f>
        <v>0</v>
      </c>
      <c r="F80" s="677">
        <f>E80*'Emission Factors'!$D$65*0.001</f>
        <v>0</v>
      </c>
      <c r="G80" s="677">
        <f>F80*'Emission Factors'!$E$65*0.001</f>
        <v>0</v>
      </c>
      <c r="H80" s="678">
        <f t="shared" si="7"/>
        <v>0</v>
      </c>
      <c r="I80" s="679">
        <f>D80*'Emission Factors'!$G$65*0.001</f>
        <v>0</v>
      </c>
    </row>
    <row r="81" spans="1:18" x14ac:dyDescent="0.35">
      <c r="A81" s="675"/>
      <c r="B81" s="694"/>
      <c r="C81" s="677">
        <f t="shared" si="6"/>
        <v>0</v>
      </c>
      <c r="D81" s="677">
        <f>'Emission Factors'!$B$65*C81</f>
        <v>0</v>
      </c>
      <c r="E81" s="677">
        <f>D81*'Emission Factors'!$C$65*0.001</f>
        <v>0</v>
      </c>
      <c r="F81" s="677">
        <f>E81*'Emission Factors'!$D$65*0.001</f>
        <v>0</v>
      </c>
      <c r="G81" s="677">
        <f>F81*'Emission Factors'!$E$65*0.001</f>
        <v>0</v>
      </c>
      <c r="H81" s="678">
        <f t="shared" si="7"/>
        <v>0</v>
      </c>
      <c r="I81" s="679">
        <f>D81*'Emission Factors'!$G$65*0.001</f>
        <v>0</v>
      </c>
    </row>
    <row r="82" spans="1:18" x14ac:dyDescent="0.35">
      <c r="A82" s="675"/>
      <c r="B82" s="694"/>
      <c r="C82" s="677">
        <f t="shared" si="6"/>
        <v>0</v>
      </c>
      <c r="D82" s="677">
        <f>'Emission Factors'!$B$65*C82</f>
        <v>0</v>
      </c>
      <c r="E82" s="677">
        <f>D82*'Emission Factors'!$C$65*0.001</f>
        <v>0</v>
      </c>
      <c r="F82" s="677">
        <f>E82*'Emission Factors'!$D$65*0.001</f>
        <v>0</v>
      </c>
      <c r="G82" s="677">
        <f>F82*'Emission Factors'!$E$65*0.001</f>
        <v>0</v>
      </c>
      <c r="H82" s="678">
        <f t="shared" si="7"/>
        <v>0</v>
      </c>
      <c r="I82" s="679">
        <f>D82*'Emission Factors'!$G$65*0.001</f>
        <v>0</v>
      </c>
    </row>
    <row r="83" spans="1:18" x14ac:dyDescent="0.35">
      <c r="A83" s="675"/>
      <c r="B83" s="694"/>
      <c r="C83" s="677">
        <f t="shared" si="6"/>
        <v>0</v>
      </c>
      <c r="D83" s="677">
        <f>'Emission Factors'!$B$65*C83</f>
        <v>0</v>
      </c>
      <c r="E83" s="677">
        <f>D83*'Emission Factors'!$C$65*0.001</f>
        <v>0</v>
      </c>
      <c r="F83" s="677">
        <f>E83*'Emission Factors'!$D$65*0.001</f>
        <v>0</v>
      </c>
      <c r="G83" s="677">
        <f>F83*'Emission Factors'!$E$65*0.001</f>
        <v>0</v>
      </c>
      <c r="H83" s="678">
        <f t="shared" si="7"/>
        <v>0</v>
      </c>
      <c r="I83" s="679">
        <f>D83*'Emission Factors'!$G$65*0.001</f>
        <v>0</v>
      </c>
    </row>
    <row r="84" spans="1:18" x14ac:dyDescent="0.35">
      <c r="A84" s="675"/>
      <c r="B84" s="694"/>
      <c r="C84" s="677">
        <f t="shared" si="6"/>
        <v>0</v>
      </c>
      <c r="D84" s="677">
        <f>'Emission Factors'!$B$65*C84</f>
        <v>0</v>
      </c>
      <c r="E84" s="677">
        <f>D84*'Emission Factors'!$C$65*0.001</f>
        <v>0</v>
      </c>
      <c r="F84" s="677">
        <f>E84*'Emission Factors'!$D$65*0.001</f>
        <v>0</v>
      </c>
      <c r="G84" s="677">
        <f>F84*'Emission Factors'!$E$65*0.001</f>
        <v>0</v>
      </c>
      <c r="H84" s="678">
        <f t="shared" si="7"/>
        <v>0</v>
      </c>
      <c r="I84" s="679">
        <f>D84*'Emission Factors'!$G$65*0.001</f>
        <v>0</v>
      </c>
    </row>
    <row r="85" spans="1:18" x14ac:dyDescent="0.35">
      <c r="A85" s="675"/>
      <c r="B85" s="694"/>
      <c r="C85" s="677">
        <f t="shared" si="6"/>
        <v>0</v>
      </c>
      <c r="D85" s="677">
        <f>'Emission Factors'!$B$65*C85</f>
        <v>0</v>
      </c>
      <c r="E85" s="677">
        <f>D85*'Emission Factors'!$C$65*0.001</f>
        <v>0</v>
      </c>
      <c r="F85" s="677">
        <f>E85*'Emission Factors'!$D$65*0.001</f>
        <v>0</v>
      </c>
      <c r="G85" s="677">
        <f>F85*'Emission Factors'!$E$65*0.001</f>
        <v>0</v>
      </c>
      <c r="H85" s="678">
        <f t="shared" si="7"/>
        <v>0</v>
      </c>
      <c r="I85" s="679">
        <f>D85*'Emission Factors'!$G$65*0.001</f>
        <v>0</v>
      </c>
    </row>
    <row r="86" spans="1:18" x14ac:dyDescent="0.35">
      <c r="A86" s="675"/>
      <c r="B86" s="694"/>
      <c r="C86" s="677">
        <f t="shared" si="6"/>
        <v>0</v>
      </c>
      <c r="D86" s="677">
        <f>'Emission Factors'!$B$65*C86</f>
        <v>0</v>
      </c>
      <c r="E86" s="677">
        <f>D86*'Emission Factors'!$C$65*0.001</f>
        <v>0</v>
      </c>
      <c r="F86" s="677">
        <f>E86*'Emission Factors'!$D$65*0.001</f>
        <v>0</v>
      </c>
      <c r="G86" s="677">
        <f>F86*'Emission Factors'!$E$65*0.001</f>
        <v>0</v>
      </c>
      <c r="H86" s="678">
        <f t="shared" si="7"/>
        <v>0</v>
      </c>
      <c r="I86" s="679">
        <f>D86*'Emission Factors'!$G$65*0.001</f>
        <v>0</v>
      </c>
    </row>
    <row r="87" spans="1:18" x14ac:dyDescent="0.35">
      <c r="A87" s="675"/>
      <c r="B87" s="694"/>
      <c r="C87" s="677">
        <f t="shared" si="6"/>
        <v>0</v>
      </c>
      <c r="D87" s="677">
        <f>'Emission Factors'!$B$65*C87</f>
        <v>0</v>
      </c>
      <c r="E87" s="677">
        <f>D87*'Emission Factors'!$C$65*0.001</f>
        <v>0</v>
      </c>
      <c r="F87" s="677">
        <f>E87*'Emission Factors'!$D$65*0.001</f>
        <v>0</v>
      </c>
      <c r="G87" s="677">
        <f>F87*'Emission Factors'!$E$65*0.001</f>
        <v>0</v>
      </c>
      <c r="H87" s="678">
        <f t="shared" si="7"/>
        <v>0</v>
      </c>
      <c r="I87" s="679">
        <f>D87*'Emission Factors'!$G$65*0.001</f>
        <v>0</v>
      </c>
    </row>
    <row r="88" spans="1:18" ht="16" thickBot="1" x14ac:dyDescent="0.4">
      <c r="A88" s="675"/>
      <c r="B88" s="694"/>
      <c r="C88" s="677">
        <f>B88/1000</f>
        <v>0</v>
      </c>
      <c r="D88" s="677">
        <f>'Emission Factors'!$B$65*C88</f>
        <v>0</v>
      </c>
      <c r="E88" s="677">
        <f>D88*'Emission Factors'!$C$65*0.001</f>
        <v>0</v>
      </c>
      <c r="F88" s="677">
        <f>E88*'Emission Factors'!$D$65*0.001</f>
        <v>0</v>
      </c>
      <c r="G88" s="677">
        <f>F88*'Emission Factors'!$E$65*0.001</f>
        <v>0</v>
      </c>
      <c r="H88" s="695">
        <f t="shared" si="7"/>
        <v>0</v>
      </c>
      <c r="I88" s="679">
        <f>D88*'Emission Factors'!$G$65*0.001</f>
        <v>0</v>
      </c>
    </row>
    <row r="89" spans="1:18" ht="24" thickBot="1" x14ac:dyDescent="0.4">
      <c r="A89" s="682" t="s">
        <v>335</v>
      </c>
      <c r="G89" s="684" t="s">
        <v>1699</v>
      </c>
      <c r="H89" s="685">
        <f>SUM(H79:H88)</f>
        <v>0</v>
      </c>
      <c r="I89" s="686">
        <f>SUM(I79:I88)</f>
        <v>0</v>
      </c>
    </row>
    <row r="90" spans="1:18" s="664" customFormat="1" ht="36" x14ac:dyDescent="0.8">
      <c r="A90" s="1474" t="s">
        <v>347</v>
      </c>
      <c r="B90" s="1475"/>
      <c r="C90" s="1476"/>
    </row>
    <row r="91" spans="1:18" s="667" customFormat="1" ht="23.5" customHeight="1" thickBot="1" x14ac:dyDescent="0.6">
      <c r="A91" s="1474" t="s">
        <v>348</v>
      </c>
      <c r="B91" s="1475"/>
      <c r="C91" s="1476"/>
      <c r="D91" s="1477" t="s">
        <v>330</v>
      </c>
      <c r="E91" s="1478"/>
      <c r="F91" s="665"/>
      <c r="G91" s="666"/>
      <c r="H91" s="666"/>
      <c r="I91" s="666"/>
      <c r="J91" s="666"/>
      <c r="K91" s="666"/>
      <c r="L91" s="666"/>
      <c r="M91" s="666"/>
      <c r="P91" s="690"/>
      <c r="R91" s="691"/>
    </row>
    <row r="92" spans="1:18" ht="18.5" x14ac:dyDescent="0.45">
      <c r="E92" s="668"/>
      <c r="F92" s="668"/>
      <c r="G92" s="668"/>
      <c r="H92" s="669" t="s">
        <v>39</v>
      </c>
      <c r="I92" s="670" t="s">
        <v>68</v>
      </c>
    </row>
    <row r="93" spans="1:18" ht="110.5" customHeight="1" x14ac:dyDescent="0.35">
      <c r="A93" s="671" t="s">
        <v>331</v>
      </c>
      <c r="B93" s="671" t="s">
        <v>339</v>
      </c>
      <c r="C93" s="671" t="s">
        <v>1709</v>
      </c>
      <c r="D93" s="672" t="s">
        <v>334</v>
      </c>
      <c r="E93" s="672" t="s">
        <v>1696</v>
      </c>
      <c r="F93" s="672" t="s">
        <v>1697</v>
      </c>
      <c r="G93" s="672" t="s">
        <v>1698</v>
      </c>
      <c r="H93" s="673" t="s">
        <v>1696</v>
      </c>
      <c r="I93" s="674" t="s">
        <v>1696</v>
      </c>
    </row>
    <row r="94" spans="1:18" x14ac:dyDescent="0.35">
      <c r="A94" s="675"/>
      <c r="B94" s="692"/>
      <c r="C94" s="677">
        <f>(B94/'Emission Factors'!$F$87)/1000</f>
        <v>0</v>
      </c>
      <c r="D94" s="677">
        <f>'Emission Factors'!$B$65*C94</f>
        <v>0</v>
      </c>
      <c r="E94" s="677">
        <f>D94*'Emission Factors'!$C$65*0.001</f>
        <v>0</v>
      </c>
      <c r="F94" s="677">
        <f>E94*'Emission Factors'!$D$65*0.001</f>
        <v>0</v>
      </c>
      <c r="G94" s="677">
        <f>F94*'Emission Factors'!$E$65*0.001</f>
        <v>0</v>
      </c>
      <c r="H94" s="678">
        <f t="shared" ref="H94:H103" si="8">E94+F94+G94</f>
        <v>0</v>
      </c>
      <c r="I94" s="679">
        <f>D94*'Emission Factors'!$G$65*0.001</f>
        <v>0</v>
      </c>
    </row>
    <row r="95" spans="1:18" x14ac:dyDescent="0.35">
      <c r="A95" s="675"/>
      <c r="B95" s="692"/>
      <c r="C95" s="677">
        <f>(B95/'Emission Factors'!$F$87)/1000</f>
        <v>0</v>
      </c>
      <c r="D95" s="677">
        <f>'Emission Factors'!$B$65*C95</f>
        <v>0</v>
      </c>
      <c r="E95" s="677">
        <f>D95*'Emission Factors'!$C$65*0.001</f>
        <v>0</v>
      </c>
      <c r="F95" s="677">
        <f>E95*'Emission Factors'!$D$65*0.001</f>
        <v>0</v>
      </c>
      <c r="G95" s="677">
        <f>F95*'Emission Factors'!$E$65*0.001</f>
        <v>0</v>
      </c>
      <c r="H95" s="678">
        <f t="shared" si="8"/>
        <v>0</v>
      </c>
      <c r="I95" s="679">
        <f>D95*'Emission Factors'!$G$65*0.001</f>
        <v>0</v>
      </c>
    </row>
    <row r="96" spans="1:18" x14ac:dyDescent="0.35">
      <c r="A96" s="675"/>
      <c r="B96" s="692"/>
      <c r="C96" s="677">
        <f>(B96/'Emission Factors'!$F$87)/1000</f>
        <v>0</v>
      </c>
      <c r="D96" s="677">
        <f>'Emission Factors'!$B$65*C96</f>
        <v>0</v>
      </c>
      <c r="E96" s="677">
        <f>D96*'Emission Factors'!$C$65*0.001</f>
        <v>0</v>
      </c>
      <c r="F96" s="677">
        <f>E96*'Emission Factors'!$D$65*0.001</f>
        <v>0</v>
      </c>
      <c r="G96" s="677">
        <f>F96*'Emission Factors'!$E$65*0.001</f>
        <v>0</v>
      </c>
      <c r="H96" s="678">
        <f t="shared" si="8"/>
        <v>0</v>
      </c>
      <c r="I96" s="679">
        <f>D96*'Emission Factors'!$G$65*0.001</f>
        <v>0</v>
      </c>
    </row>
    <row r="97" spans="1:18" x14ac:dyDescent="0.35">
      <c r="A97" s="675"/>
      <c r="B97" s="692"/>
      <c r="C97" s="677">
        <f>(B97/'Emission Factors'!$F$87)/1000</f>
        <v>0</v>
      </c>
      <c r="D97" s="677">
        <f>'Emission Factors'!$B$65*C97</f>
        <v>0</v>
      </c>
      <c r="E97" s="677">
        <f>D97*'Emission Factors'!$C$65*0.001</f>
        <v>0</v>
      </c>
      <c r="F97" s="677">
        <f>E97*'Emission Factors'!$D$65*0.001</f>
        <v>0</v>
      </c>
      <c r="G97" s="677">
        <f>F97*'Emission Factors'!$E$65*0.001</f>
        <v>0</v>
      </c>
      <c r="H97" s="678">
        <f t="shared" si="8"/>
        <v>0</v>
      </c>
      <c r="I97" s="679">
        <f>D97*'Emission Factors'!$G$65*0.001</f>
        <v>0</v>
      </c>
    </row>
    <row r="98" spans="1:18" x14ac:dyDescent="0.35">
      <c r="A98" s="675"/>
      <c r="B98" s="692"/>
      <c r="C98" s="677">
        <f>(B98/'Emission Factors'!$F$87)/1000</f>
        <v>0</v>
      </c>
      <c r="D98" s="677">
        <f>'Emission Factors'!$B$65*C98</f>
        <v>0</v>
      </c>
      <c r="E98" s="677">
        <f>D98*'Emission Factors'!$C$65*0.001</f>
        <v>0</v>
      </c>
      <c r="F98" s="677">
        <f>E98*'Emission Factors'!$D$65*0.001</f>
        <v>0</v>
      </c>
      <c r="G98" s="677">
        <f>F98*'Emission Factors'!$E$65*0.001</f>
        <v>0</v>
      </c>
      <c r="H98" s="678">
        <f t="shared" si="8"/>
        <v>0</v>
      </c>
      <c r="I98" s="679">
        <f>D98*'Emission Factors'!$G$65*0.001</f>
        <v>0</v>
      </c>
    </row>
    <row r="99" spans="1:18" x14ac:dyDescent="0.35">
      <c r="A99" s="675"/>
      <c r="B99" s="692"/>
      <c r="C99" s="677">
        <f>(B99/'Emission Factors'!$F$87)/1000</f>
        <v>0</v>
      </c>
      <c r="D99" s="677">
        <f>'Emission Factors'!$B$65*C99</f>
        <v>0</v>
      </c>
      <c r="E99" s="677">
        <f>D99*'Emission Factors'!$C$65*0.001</f>
        <v>0</v>
      </c>
      <c r="F99" s="677">
        <f>E99*'Emission Factors'!$D$65*0.001</f>
        <v>0</v>
      </c>
      <c r="G99" s="677">
        <f>F99*'Emission Factors'!$E$65*0.001</f>
        <v>0</v>
      </c>
      <c r="H99" s="678">
        <f t="shared" si="8"/>
        <v>0</v>
      </c>
      <c r="I99" s="679">
        <f>D99*'Emission Factors'!$G$65*0.001</f>
        <v>0</v>
      </c>
    </row>
    <row r="100" spans="1:18" x14ac:dyDescent="0.35">
      <c r="A100" s="675"/>
      <c r="B100" s="692"/>
      <c r="C100" s="677">
        <f>(B100/'Emission Factors'!$F$87)/1000</f>
        <v>0</v>
      </c>
      <c r="D100" s="677">
        <f>'Emission Factors'!$B$65*C100</f>
        <v>0</v>
      </c>
      <c r="E100" s="677">
        <f>D100*'Emission Factors'!$C$65*0.001</f>
        <v>0</v>
      </c>
      <c r="F100" s="677">
        <f>E100*'Emission Factors'!$D$65*0.001</f>
        <v>0</v>
      </c>
      <c r="G100" s="677">
        <f>F100*'Emission Factors'!$E$65*0.001</f>
        <v>0</v>
      </c>
      <c r="H100" s="678">
        <f t="shared" si="8"/>
        <v>0</v>
      </c>
      <c r="I100" s="679">
        <f>D100*'Emission Factors'!$G$65*0.001</f>
        <v>0</v>
      </c>
    </row>
    <row r="101" spans="1:18" x14ac:dyDescent="0.35">
      <c r="A101" s="675"/>
      <c r="B101" s="692"/>
      <c r="C101" s="677">
        <f>(B101/'Emission Factors'!$F$87)/1000</f>
        <v>0</v>
      </c>
      <c r="D101" s="677">
        <f>'Emission Factors'!$B$65*C101</f>
        <v>0</v>
      </c>
      <c r="E101" s="677">
        <f>D101*'Emission Factors'!$C$65*0.001</f>
        <v>0</v>
      </c>
      <c r="F101" s="677">
        <f>E101*'Emission Factors'!$D$65*0.001</f>
        <v>0</v>
      </c>
      <c r="G101" s="677">
        <f>F101*'Emission Factors'!$E$65*0.001</f>
        <v>0</v>
      </c>
      <c r="H101" s="678">
        <f t="shared" si="8"/>
        <v>0</v>
      </c>
      <c r="I101" s="679">
        <f>D101*'Emission Factors'!$G$65*0.001</f>
        <v>0</v>
      </c>
    </row>
    <row r="102" spans="1:18" x14ac:dyDescent="0.35">
      <c r="A102" s="675"/>
      <c r="B102" s="692"/>
      <c r="C102" s="677">
        <f>(B102/'Emission Factors'!$F$87)/1000</f>
        <v>0</v>
      </c>
      <c r="D102" s="677">
        <f>'Emission Factors'!$B$65*C102</f>
        <v>0</v>
      </c>
      <c r="E102" s="677">
        <f>D102*'Emission Factors'!$C$65*0.001</f>
        <v>0</v>
      </c>
      <c r="F102" s="677">
        <f>E102*'Emission Factors'!$D$65*0.001</f>
        <v>0</v>
      </c>
      <c r="G102" s="677">
        <f>F102*'Emission Factors'!$E$65*0.001</f>
        <v>0</v>
      </c>
      <c r="H102" s="678">
        <f t="shared" si="8"/>
        <v>0</v>
      </c>
      <c r="I102" s="679">
        <f>D102*'Emission Factors'!$G$65*0.001</f>
        <v>0</v>
      </c>
    </row>
    <row r="103" spans="1:18" ht="16" thickBot="1" x14ac:dyDescent="0.4">
      <c r="A103" s="675"/>
      <c r="B103" s="692"/>
      <c r="C103" s="677">
        <f>(B103/'Emission Factors'!$F$87)/1000</f>
        <v>0</v>
      </c>
      <c r="D103" s="677">
        <f>'Emission Factors'!$B$65*C103</f>
        <v>0</v>
      </c>
      <c r="E103" s="677">
        <f>D103*'Emission Factors'!$C$65*0.001</f>
        <v>0</v>
      </c>
      <c r="F103" s="677">
        <f>E103*'Emission Factors'!$D$65*0.001</f>
        <v>0</v>
      </c>
      <c r="G103" s="677">
        <f>F103*'Emission Factors'!$E$65*0.001</f>
        <v>0</v>
      </c>
      <c r="H103" s="695">
        <f t="shared" si="8"/>
        <v>0</v>
      </c>
      <c r="I103" s="679">
        <f>D103*'Emission Factors'!$G$65*0.001</f>
        <v>0</v>
      </c>
    </row>
    <row r="104" spans="1:18" s="667" customFormat="1" ht="24" thickBot="1" x14ac:dyDescent="0.6">
      <c r="D104" s="683"/>
      <c r="E104" s="666"/>
      <c r="F104" s="683"/>
      <c r="G104" s="684" t="s">
        <v>1699</v>
      </c>
      <c r="H104" s="685">
        <f>SUM(H94:H103)</f>
        <v>0</v>
      </c>
      <c r="I104" s="686">
        <f>SUM(I94:I103)</f>
        <v>0</v>
      </c>
      <c r="J104" s="666"/>
      <c r="K104" s="666"/>
      <c r="L104" s="666"/>
      <c r="M104" s="666"/>
      <c r="N104" s="666"/>
      <c r="O104" s="683"/>
    </row>
    <row r="105" spans="1:18" s="667" customFormat="1" ht="23.5" customHeight="1" thickBot="1" x14ac:dyDescent="0.6">
      <c r="A105" s="1474" t="s">
        <v>349</v>
      </c>
      <c r="B105" s="1475"/>
      <c r="C105" s="1476"/>
      <c r="D105" s="1477" t="s">
        <v>330</v>
      </c>
      <c r="E105" s="1478"/>
      <c r="F105" s="665"/>
      <c r="G105" s="666"/>
      <c r="H105" s="666"/>
      <c r="I105" s="666"/>
      <c r="J105" s="666"/>
      <c r="K105" s="666"/>
      <c r="L105" s="666"/>
      <c r="M105" s="666"/>
      <c r="P105" s="690"/>
      <c r="R105" s="691"/>
    </row>
    <row r="106" spans="1:18" ht="18.5" x14ac:dyDescent="0.45">
      <c r="E106" s="668"/>
      <c r="F106" s="668"/>
      <c r="G106" s="668"/>
      <c r="H106" s="669" t="s">
        <v>39</v>
      </c>
      <c r="I106" s="670" t="s">
        <v>68</v>
      </c>
    </row>
    <row r="107" spans="1:18" ht="110.5" customHeight="1" x14ac:dyDescent="0.35">
      <c r="A107" s="671" t="s">
        <v>331</v>
      </c>
      <c r="B107" s="671" t="s">
        <v>339</v>
      </c>
      <c r="C107" s="671" t="s">
        <v>1709</v>
      </c>
      <c r="D107" s="672" t="s">
        <v>334</v>
      </c>
      <c r="E107" s="672" t="s">
        <v>1696</v>
      </c>
      <c r="F107" s="672" t="s">
        <v>1697</v>
      </c>
      <c r="G107" s="672" t="s">
        <v>1698</v>
      </c>
      <c r="H107" s="673" t="s">
        <v>1696</v>
      </c>
      <c r="I107" s="674" t="s">
        <v>1696</v>
      </c>
    </row>
    <row r="108" spans="1:18" x14ac:dyDescent="0.35">
      <c r="A108" s="675"/>
      <c r="B108" s="692"/>
      <c r="C108" s="677">
        <f>(B108/'Emission Factors'!$F$88)/1000</f>
        <v>0</v>
      </c>
      <c r="D108" s="677">
        <f>'Emission Factors'!$B$65*C108</f>
        <v>0</v>
      </c>
      <c r="E108" s="677">
        <f>D108*'Emission Factors'!$C$65*0.001</f>
        <v>0</v>
      </c>
      <c r="F108" s="677">
        <f>E108*'Emission Factors'!$D$65*0.001</f>
        <v>0</v>
      </c>
      <c r="G108" s="677">
        <f>F108*'Emission Factors'!$E$65*0.001</f>
        <v>0</v>
      </c>
      <c r="H108" s="678">
        <f t="shared" ref="H108:H117" si="9">E108+F108+G108</f>
        <v>0</v>
      </c>
      <c r="I108" s="679">
        <f>D108*'Emission Factors'!$G$65*0.001</f>
        <v>0</v>
      </c>
    </row>
    <row r="109" spans="1:18" x14ac:dyDescent="0.35">
      <c r="A109" s="675"/>
      <c r="B109" s="692"/>
      <c r="C109" s="677">
        <f>(B109/'Emission Factors'!$F$88)/1000</f>
        <v>0</v>
      </c>
      <c r="D109" s="677">
        <f>'Emission Factors'!$B$65*C109</f>
        <v>0</v>
      </c>
      <c r="E109" s="677">
        <f>D109*'Emission Factors'!$C$65*0.001</f>
        <v>0</v>
      </c>
      <c r="F109" s="677">
        <f>E109*'Emission Factors'!$D$65*0.001</f>
        <v>0</v>
      </c>
      <c r="G109" s="677">
        <f>F109*'Emission Factors'!$E$65*0.001</f>
        <v>0</v>
      </c>
      <c r="H109" s="678">
        <f t="shared" si="9"/>
        <v>0</v>
      </c>
      <c r="I109" s="679">
        <f>D109*'Emission Factors'!$G$65*0.001</f>
        <v>0</v>
      </c>
    </row>
    <row r="110" spans="1:18" x14ac:dyDescent="0.35">
      <c r="A110" s="675"/>
      <c r="B110" s="692"/>
      <c r="C110" s="677">
        <f>(B110/'Emission Factors'!$F$88)/1000</f>
        <v>0</v>
      </c>
      <c r="D110" s="677">
        <f>'Emission Factors'!$B$65*C110</f>
        <v>0</v>
      </c>
      <c r="E110" s="677">
        <f>D110*'Emission Factors'!$C$65*0.001</f>
        <v>0</v>
      </c>
      <c r="F110" s="677">
        <f>E110*'Emission Factors'!$D$65*0.001</f>
        <v>0</v>
      </c>
      <c r="G110" s="677">
        <f>F110*'Emission Factors'!$E$65*0.001</f>
        <v>0</v>
      </c>
      <c r="H110" s="678">
        <f t="shared" si="9"/>
        <v>0</v>
      </c>
      <c r="I110" s="679">
        <f>D110*'Emission Factors'!$G$65*0.001</f>
        <v>0</v>
      </c>
    </row>
    <row r="111" spans="1:18" x14ac:dyDescent="0.35">
      <c r="A111" s="675"/>
      <c r="B111" s="692"/>
      <c r="C111" s="677">
        <f>(B111/'Emission Factors'!$F$88)/1000</f>
        <v>0</v>
      </c>
      <c r="D111" s="677">
        <f>'Emission Factors'!$B$65*C111</f>
        <v>0</v>
      </c>
      <c r="E111" s="677">
        <f>D111*'Emission Factors'!$C$65*0.001</f>
        <v>0</v>
      </c>
      <c r="F111" s="677">
        <f>E111*'Emission Factors'!$D$65*0.001</f>
        <v>0</v>
      </c>
      <c r="G111" s="677">
        <f>F111*'Emission Factors'!$E$65*0.001</f>
        <v>0</v>
      </c>
      <c r="H111" s="678">
        <f t="shared" si="9"/>
        <v>0</v>
      </c>
      <c r="I111" s="679">
        <f>D111*'Emission Factors'!$G$65*0.001</f>
        <v>0</v>
      </c>
    </row>
    <row r="112" spans="1:18" x14ac:dyDescent="0.35">
      <c r="A112" s="675"/>
      <c r="B112" s="692"/>
      <c r="C112" s="677">
        <f>(B112/'Emission Factors'!$F$88)/1000</f>
        <v>0</v>
      </c>
      <c r="D112" s="677">
        <f>'Emission Factors'!$B$65*C112</f>
        <v>0</v>
      </c>
      <c r="E112" s="677">
        <f>D112*'Emission Factors'!$C$65*0.001</f>
        <v>0</v>
      </c>
      <c r="F112" s="677">
        <f>E112*'Emission Factors'!$D$65*0.001</f>
        <v>0</v>
      </c>
      <c r="G112" s="677">
        <f>F112*'Emission Factors'!$E$65*0.001</f>
        <v>0</v>
      </c>
      <c r="H112" s="678">
        <f t="shared" si="9"/>
        <v>0</v>
      </c>
      <c r="I112" s="679">
        <f>D112*'Emission Factors'!$G$65*0.001</f>
        <v>0</v>
      </c>
    </row>
    <row r="113" spans="1:17" x14ac:dyDescent="0.35">
      <c r="A113" s="675"/>
      <c r="B113" s="692"/>
      <c r="C113" s="677">
        <f>(B113/'Emission Factors'!$F$88)/1000</f>
        <v>0</v>
      </c>
      <c r="D113" s="677">
        <f>'Emission Factors'!$B$65*C113</f>
        <v>0</v>
      </c>
      <c r="E113" s="677">
        <f>D113*'Emission Factors'!$C$65*0.001</f>
        <v>0</v>
      </c>
      <c r="F113" s="677">
        <f>E113*'Emission Factors'!$D$65*0.001</f>
        <v>0</v>
      </c>
      <c r="G113" s="677">
        <f>F113*'Emission Factors'!$E$65*0.001</f>
        <v>0</v>
      </c>
      <c r="H113" s="678">
        <f t="shared" si="9"/>
        <v>0</v>
      </c>
      <c r="I113" s="679">
        <f>D113*'Emission Factors'!$G$65*0.001</f>
        <v>0</v>
      </c>
    </row>
    <row r="114" spans="1:17" x14ac:dyDescent="0.35">
      <c r="A114" s="675"/>
      <c r="B114" s="692"/>
      <c r="C114" s="677">
        <f>(B114/'Emission Factors'!$F$88)/1000</f>
        <v>0</v>
      </c>
      <c r="D114" s="677">
        <f>'Emission Factors'!$B$65*C114</f>
        <v>0</v>
      </c>
      <c r="E114" s="677">
        <f>D114*'Emission Factors'!$C$65*0.001</f>
        <v>0</v>
      </c>
      <c r="F114" s="677">
        <f>E114*'Emission Factors'!$D$65*0.001</f>
        <v>0</v>
      </c>
      <c r="G114" s="677">
        <f>F114*'Emission Factors'!$E$65*0.001</f>
        <v>0</v>
      </c>
      <c r="H114" s="678">
        <f t="shared" si="9"/>
        <v>0</v>
      </c>
      <c r="I114" s="679">
        <f>D114*'Emission Factors'!$G$65*0.001</f>
        <v>0</v>
      </c>
    </row>
    <row r="115" spans="1:17" x14ac:dyDescent="0.35">
      <c r="A115" s="675"/>
      <c r="B115" s="692"/>
      <c r="C115" s="677">
        <f>(B115/'Emission Factors'!$F$88)/1000</f>
        <v>0</v>
      </c>
      <c r="D115" s="677">
        <f>'Emission Factors'!$B$65*C115</f>
        <v>0</v>
      </c>
      <c r="E115" s="677">
        <f>D115*'Emission Factors'!$C$65*0.001</f>
        <v>0</v>
      </c>
      <c r="F115" s="677">
        <f>E115*'Emission Factors'!$D$65*0.001</f>
        <v>0</v>
      </c>
      <c r="G115" s="677">
        <f>F115*'Emission Factors'!$E$65*0.001</f>
        <v>0</v>
      </c>
      <c r="H115" s="678">
        <f t="shared" si="9"/>
        <v>0</v>
      </c>
      <c r="I115" s="679">
        <f>D115*'Emission Factors'!$G$65*0.001</f>
        <v>0</v>
      </c>
    </row>
    <row r="116" spans="1:17" x14ac:dyDescent="0.35">
      <c r="A116" s="675"/>
      <c r="B116" s="692"/>
      <c r="C116" s="677">
        <f>(B116/'Emission Factors'!$F$88)/1000</f>
        <v>0</v>
      </c>
      <c r="D116" s="677">
        <f>'Emission Factors'!$B$65*C116</f>
        <v>0</v>
      </c>
      <c r="E116" s="677">
        <f>D116*'Emission Factors'!$C$65*0.001</f>
        <v>0</v>
      </c>
      <c r="F116" s="677">
        <f>E116*'Emission Factors'!$D$65*0.001</f>
        <v>0</v>
      </c>
      <c r="G116" s="677">
        <f>F116*'Emission Factors'!$E$65*0.001</f>
        <v>0</v>
      </c>
      <c r="H116" s="678">
        <f t="shared" si="9"/>
        <v>0</v>
      </c>
      <c r="I116" s="679">
        <f>D116*'Emission Factors'!$G$65*0.001</f>
        <v>0</v>
      </c>
    </row>
    <row r="117" spans="1:17" ht="16" thickBot="1" x14ac:dyDescent="0.4">
      <c r="A117" s="675"/>
      <c r="B117" s="692"/>
      <c r="C117" s="677">
        <f>(B117/'Emission Factors'!$F$88)/1000</f>
        <v>0</v>
      </c>
      <c r="D117" s="677">
        <f>'Emission Factors'!$B$65*C117</f>
        <v>0</v>
      </c>
      <c r="E117" s="677">
        <f>D117*'Emission Factors'!$C$65*0.001</f>
        <v>0</v>
      </c>
      <c r="F117" s="677">
        <f>E117*'Emission Factors'!$D$65*0.001</f>
        <v>0</v>
      </c>
      <c r="G117" s="677">
        <f>F117*'Emission Factors'!$E$65*0.001</f>
        <v>0</v>
      </c>
      <c r="H117" s="695">
        <f t="shared" si="9"/>
        <v>0</v>
      </c>
      <c r="I117" s="679">
        <f>D117*'Emission Factors'!$G$65*0.001</f>
        <v>0</v>
      </c>
    </row>
    <row r="118" spans="1:17" ht="24" thickBot="1" x14ac:dyDescent="0.6">
      <c r="A118" s="693"/>
      <c r="D118" s="683"/>
      <c r="E118" s="666"/>
      <c r="F118" s="683"/>
      <c r="G118" s="684" t="s">
        <v>1699</v>
      </c>
      <c r="H118" s="685">
        <f>SUM(H108:H117)</f>
        <v>0</v>
      </c>
      <c r="I118" s="686">
        <f>SUM(I108:I117)</f>
        <v>0</v>
      </c>
      <c r="J118" s="666"/>
      <c r="K118" s="666"/>
      <c r="L118" s="666"/>
      <c r="M118" s="666"/>
      <c r="N118" s="666"/>
      <c r="O118" s="683"/>
      <c r="P118" s="667"/>
    </row>
    <row r="120" spans="1:17" s="667" customFormat="1" ht="23.5" x14ac:dyDescent="0.55000000000000004">
      <c r="A120" s="682" t="s">
        <v>335</v>
      </c>
      <c r="B120" s="683"/>
      <c r="C120" s="683"/>
      <c r="D120" s="683"/>
      <c r="E120" s="666"/>
      <c r="F120" s="683"/>
      <c r="J120" s="666"/>
      <c r="K120" s="666"/>
      <c r="L120" s="666"/>
      <c r="M120" s="666"/>
      <c r="N120" s="666"/>
      <c r="O120" s="683"/>
    </row>
    <row r="121" spans="1:17" s="667" customFormat="1" ht="23.5" customHeight="1" thickBot="1" x14ac:dyDescent="0.6">
      <c r="A121" s="1474" t="s">
        <v>1761</v>
      </c>
      <c r="B121" s="1475"/>
      <c r="C121" s="1476"/>
      <c r="D121" s="1477" t="s">
        <v>330</v>
      </c>
      <c r="E121" s="1478"/>
      <c r="F121" s="665"/>
      <c r="G121" s="666"/>
      <c r="H121" s="666"/>
      <c r="I121" s="666"/>
      <c r="J121" s="666"/>
      <c r="K121" s="666"/>
      <c r="L121" s="666"/>
      <c r="M121" s="666"/>
      <c r="O121" s="690"/>
      <c r="Q121" s="691"/>
    </row>
    <row r="122" spans="1:17" ht="18.5" x14ac:dyDescent="0.45">
      <c r="E122" s="668"/>
      <c r="F122" s="668"/>
      <c r="G122" s="668"/>
      <c r="H122" s="669" t="s">
        <v>39</v>
      </c>
      <c r="I122" s="670" t="s">
        <v>68</v>
      </c>
    </row>
    <row r="123" spans="1:17" ht="110.5" customHeight="1" x14ac:dyDescent="0.35">
      <c r="A123" s="671" t="s">
        <v>331</v>
      </c>
      <c r="B123" s="671" t="s">
        <v>1763</v>
      </c>
      <c r="C123" s="671" t="s">
        <v>346</v>
      </c>
      <c r="D123" s="672" t="s">
        <v>334</v>
      </c>
      <c r="E123" s="672" t="s">
        <v>1696</v>
      </c>
      <c r="F123" s="672" t="s">
        <v>1697</v>
      </c>
      <c r="G123" s="672" t="s">
        <v>1698</v>
      </c>
      <c r="H123" s="673" t="s">
        <v>1696</v>
      </c>
      <c r="I123" s="674" t="s">
        <v>1696</v>
      </c>
    </row>
    <row r="124" spans="1:17" x14ac:dyDescent="0.35">
      <c r="A124" s="675"/>
      <c r="B124" s="687"/>
      <c r="C124" s="688">
        <f>(B124/'Emission Factors'!$B$87)/1000</f>
        <v>0</v>
      </c>
      <c r="D124" s="677">
        <f>'Emission Factors'!$B$65*C124</f>
        <v>0</v>
      </c>
      <c r="E124" s="677">
        <f>D124*'Emission Factors'!$C$65*0.001</f>
        <v>0</v>
      </c>
      <c r="F124" s="677">
        <f>E124*'Emission Factors'!$D$65*0.001</f>
        <v>0</v>
      </c>
      <c r="G124" s="677">
        <f>F124*'Emission Factors'!$E$65*0.001</f>
        <v>0</v>
      </c>
      <c r="H124" s="678">
        <f t="shared" ref="H124:H133" si="10">E124+F124+G124</f>
        <v>0</v>
      </c>
      <c r="I124" s="679">
        <f>D124*'Emission Factors'!$G$65*0.001</f>
        <v>0</v>
      </c>
    </row>
    <row r="125" spans="1:17" x14ac:dyDescent="0.35">
      <c r="A125" s="675"/>
      <c r="B125" s="687"/>
      <c r="C125" s="688">
        <f>(B125/'Emission Factors'!$B$87)/1000</f>
        <v>0</v>
      </c>
      <c r="D125" s="677">
        <f>'Emission Factors'!$B$65*C125</f>
        <v>0</v>
      </c>
      <c r="E125" s="677">
        <f>D125*'Emission Factors'!$C$65*0.001</f>
        <v>0</v>
      </c>
      <c r="F125" s="677">
        <f>E125*'Emission Factors'!$D$65*0.001</f>
        <v>0</v>
      </c>
      <c r="G125" s="677">
        <f>F125*'Emission Factors'!$E$65*0.001</f>
        <v>0</v>
      </c>
      <c r="H125" s="678">
        <f t="shared" si="10"/>
        <v>0</v>
      </c>
      <c r="I125" s="679">
        <f>D125*'Emission Factors'!$G$65*0.001</f>
        <v>0</v>
      </c>
    </row>
    <row r="126" spans="1:17" x14ac:dyDescent="0.35">
      <c r="A126" s="675"/>
      <c r="B126" s="687"/>
      <c r="C126" s="688">
        <f>(B126/'Emission Factors'!$B$87)/1000</f>
        <v>0</v>
      </c>
      <c r="D126" s="677">
        <f>'Emission Factors'!$B$65*C126</f>
        <v>0</v>
      </c>
      <c r="E126" s="677">
        <f>D126*'Emission Factors'!$C$65*0.001</f>
        <v>0</v>
      </c>
      <c r="F126" s="677">
        <f>E126*'Emission Factors'!$D$65*0.001</f>
        <v>0</v>
      </c>
      <c r="G126" s="677">
        <f>F126*'Emission Factors'!$E$65*0.001</f>
        <v>0</v>
      </c>
      <c r="H126" s="678">
        <f t="shared" si="10"/>
        <v>0</v>
      </c>
      <c r="I126" s="679">
        <f>D126*'Emission Factors'!$G$65*0.001</f>
        <v>0</v>
      </c>
    </row>
    <row r="127" spans="1:17" x14ac:dyDescent="0.35">
      <c r="A127" s="675"/>
      <c r="B127" s="687"/>
      <c r="C127" s="688">
        <f>(B127/'Emission Factors'!$B$87)/1000</f>
        <v>0</v>
      </c>
      <c r="D127" s="677">
        <f>'Emission Factors'!$B$65*C127</f>
        <v>0</v>
      </c>
      <c r="E127" s="677">
        <f>D127*'Emission Factors'!$C$65*0.001</f>
        <v>0</v>
      </c>
      <c r="F127" s="677">
        <f>E127*'Emission Factors'!$D$65*0.001</f>
        <v>0</v>
      </c>
      <c r="G127" s="677">
        <f>F127*'Emission Factors'!$E$65*0.001</f>
        <v>0</v>
      </c>
      <c r="H127" s="678">
        <f t="shared" si="10"/>
        <v>0</v>
      </c>
      <c r="I127" s="679">
        <f>D127*'Emission Factors'!$G$65*0.001</f>
        <v>0</v>
      </c>
    </row>
    <row r="128" spans="1:17" x14ac:dyDescent="0.35">
      <c r="A128" s="675"/>
      <c r="B128" s="687"/>
      <c r="C128" s="688">
        <f>(B128/'Emission Factors'!$B$87)/1000</f>
        <v>0</v>
      </c>
      <c r="D128" s="677">
        <f>'Emission Factors'!$B$65*C128</f>
        <v>0</v>
      </c>
      <c r="E128" s="677">
        <f>D128*'Emission Factors'!$C$65*0.001</f>
        <v>0</v>
      </c>
      <c r="F128" s="677">
        <f>E128*'Emission Factors'!$D$65*0.001</f>
        <v>0</v>
      </c>
      <c r="G128" s="677">
        <f>F128*'Emission Factors'!$E$65*0.001</f>
        <v>0</v>
      </c>
      <c r="H128" s="678">
        <f t="shared" si="10"/>
        <v>0</v>
      </c>
      <c r="I128" s="679">
        <f>D128*'Emission Factors'!$G$65*0.001</f>
        <v>0</v>
      </c>
    </row>
    <row r="129" spans="1:18" x14ac:dyDescent="0.35">
      <c r="A129" s="675"/>
      <c r="B129" s="687"/>
      <c r="C129" s="688">
        <f>(B129/'Emission Factors'!$B$87)/1000</f>
        <v>0</v>
      </c>
      <c r="D129" s="677">
        <f>'Emission Factors'!$B$65*C129</f>
        <v>0</v>
      </c>
      <c r="E129" s="677">
        <f>D129*'Emission Factors'!$C$65*0.001</f>
        <v>0</v>
      </c>
      <c r="F129" s="677">
        <f>E129*'Emission Factors'!$D$65*0.001</f>
        <v>0</v>
      </c>
      <c r="G129" s="677">
        <f>F129*'Emission Factors'!$E$65*0.001</f>
        <v>0</v>
      </c>
      <c r="H129" s="678">
        <f t="shared" si="10"/>
        <v>0</v>
      </c>
      <c r="I129" s="679">
        <f>D129*'Emission Factors'!$G$65*0.001</f>
        <v>0</v>
      </c>
    </row>
    <row r="130" spans="1:18" x14ac:dyDescent="0.35">
      <c r="A130" s="675"/>
      <c r="B130" s="687"/>
      <c r="C130" s="688">
        <f>(B130/'Emission Factors'!$B$87)/1000</f>
        <v>0</v>
      </c>
      <c r="D130" s="677">
        <f>'Emission Factors'!$B$65*C130</f>
        <v>0</v>
      </c>
      <c r="E130" s="677">
        <f>D130*'Emission Factors'!$C$65*0.001</f>
        <v>0</v>
      </c>
      <c r="F130" s="677">
        <f>E130*'Emission Factors'!$D$65*0.001</f>
        <v>0</v>
      </c>
      <c r="G130" s="677">
        <f>F130*'Emission Factors'!$E$65*0.001</f>
        <v>0</v>
      </c>
      <c r="H130" s="678">
        <f t="shared" si="10"/>
        <v>0</v>
      </c>
      <c r="I130" s="679">
        <f>D130*'Emission Factors'!$G$65*0.001</f>
        <v>0</v>
      </c>
    </row>
    <row r="131" spans="1:18" x14ac:dyDescent="0.35">
      <c r="A131" s="675"/>
      <c r="B131" s="687"/>
      <c r="C131" s="688">
        <f>(B131/'Emission Factors'!$B$87)/1000</f>
        <v>0</v>
      </c>
      <c r="D131" s="677">
        <f>'Emission Factors'!$B$65*C131</f>
        <v>0</v>
      </c>
      <c r="E131" s="677">
        <f>D131*'Emission Factors'!$C$65*0.001</f>
        <v>0</v>
      </c>
      <c r="F131" s="677">
        <f>E131*'Emission Factors'!$D$65*0.001</f>
        <v>0</v>
      </c>
      <c r="G131" s="677">
        <f>F131*'Emission Factors'!$E$65*0.001</f>
        <v>0</v>
      </c>
      <c r="H131" s="678">
        <f t="shared" si="10"/>
        <v>0</v>
      </c>
      <c r="I131" s="679">
        <f>D131*'Emission Factors'!$G$65*0.001</f>
        <v>0</v>
      </c>
    </row>
    <row r="132" spans="1:18" x14ac:dyDescent="0.35">
      <c r="A132" s="675"/>
      <c r="B132" s="687"/>
      <c r="C132" s="688">
        <f>(B132/'Emission Factors'!$B$87)/1000</f>
        <v>0</v>
      </c>
      <c r="D132" s="677">
        <f>'Emission Factors'!$B$65*C132</f>
        <v>0</v>
      </c>
      <c r="E132" s="677">
        <f>D132*'Emission Factors'!$C$65*0.001</f>
        <v>0</v>
      </c>
      <c r="F132" s="677">
        <f>E132*'Emission Factors'!$D$65*0.001</f>
        <v>0</v>
      </c>
      <c r="G132" s="677">
        <f>F132*'Emission Factors'!$E$65*0.001</f>
        <v>0</v>
      </c>
      <c r="H132" s="678">
        <f t="shared" si="10"/>
        <v>0</v>
      </c>
      <c r="I132" s="679">
        <f>D132*'Emission Factors'!$G$65*0.001</f>
        <v>0</v>
      </c>
    </row>
    <row r="133" spans="1:18" ht="16" thickBot="1" x14ac:dyDescent="0.4">
      <c r="A133" s="675"/>
      <c r="B133" s="687"/>
      <c r="C133" s="688">
        <f>(B133/'Emission Factors'!$B$87)/1000</f>
        <v>0</v>
      </c>
      <c r="D133" s="677">
        <f>'Emission Factors'!$B$65*C133</f>
        <v>0</v>
      </c>
      <c r="E133" s="677">
        <f>D133*'Emission Factors'!$C$65*0.001</f>
        <v>0</v>
      </c>
      <c r="F133" s="677">
        <f>E133*'Emission Factors'!$D$65*0.001</f>
        <v>0</v>
      </c>
      <c r="G133" s="677">
        <f>F133*'Emission Factors'!$E$65*0.001</f>
        <v>0</v>
      </c>
      <c r="H133" s="695">
        <f t="shared" si="10"/>
        <v>0</v>
      </c>
      <c r="I133" s="679">
        <f>D133*'Emission Factors'!$G$65*0.001</f>
        <v>0</v>
      </c>
    </row>
    <row r="134" spans="1:18" ht="24" thickBot="1" x14ac:dyDescent="0.6">
      <c r="A134" s="693"/>
      <c r="D134" s="683"/>
      <c r="E134" s="666"/>
      <c r="F134" s="683"/>
      <c r="G134" s="684" t="s">
        <v>1699</v>
      </c>
      <c r="H134" s="685">
        <f>SUM(H124:H133)</f>
        <v>0</v>
      </c>
      <c r="I134" s="686">
        <f>SUM(I124:I133)</f>
        <v>0</v>
      </c>
      <c r="J134" s="666"/>
      <c r="K134" s="666"/>
      <c r="L134" s="666"/>
      <c r="M134" s="666"/>
      <c r="N134" s="666"/>
      <c r="O134" s="683"/>
      <c r="P134" s="667"/>
    </row>
    <row r="135" spans="1:18" s="664" customFormat="1" ht="36" x14ac:dyDescent="0.8">
      <c r="A135" s="1463" t="s">
        <v>351</v>
      </c>
      <c r="B135" s="1464"/>
      <c r="C135" s="1464"/>
      <c r="D135" s="1464"/>
      <c r="E135" s="1464"/>
      <c r="F135" s="1464"/>
      <c r="G135" s="1464"/>
      <c r="H135" s="1464"/>
      <c r="I135" s="1464"/>
      <c r="J135" s="1464"/>
      <c r="K135" s="1464"/>
      <c r="L135" s="1464"/>
      <c r="M135" s="1464"/>
      <c r="N135" s="1464"/>
      <c r="O135" s="1464"/>
      <c r="P135" s="1464"/>
      <c r="Q135" s="1464"/>
      <c r="R135" s="1464"/>
    </row>
    <row r="136" spans="1:18" s="667" customFormat="1" ht="23.5" customHeight="1" thickBot="1" x14ac:dyDescent="0.6">
      <c r="A136" s="1474" t="s">
        <v>352</v>
      </c>
      <c r="B136" s="1475"/>
      <c r="C136" s="1476"/>
      <c r="D136" s="1477" t="s">
        <v>330</v>
      </c>
      <c r="E136" s="1478"/>
      <c r="F136" s="665"/>
      <c r="G136" s="666"/>
      <c r="H136" s="666"/>
      <c r="I136" s="666"/>
      <c r="J136" s="666"/>
      <c r="K136" s="666"/>
      <c r="L136" s="666"/>
      <c r="M136" s="666"/>
      <c r="P136" s="690"/>
      <c r="R136" s="691"/>
    </row>
    <row r="137" spans="1:18" ht="18.5" x14ac:dyDescent="0.45">
      <c r="E137" s="668"/>
      <c r="F137" s="668"/>
      <c r="G137" s="668"/>
      <c r="H137" s="669" t="s">
        <v>39</v>
      </c>
      <c r="I137" s="670" t="s">
        <v>68</v>
      </c>
    </row>
    <row r="138" spans="1:18" ht="110.5" customHeight="1" x14ac:dyDescent="0.35">
      <c r="A138" s="671" t="s">
        <v>331</v>
      </c>
      <c r="B138" s="671" t="s">
        <v>353</v>
      </c>
      <c r="C138" s="672" t="s">
        <v>333</v>
      </c>
      <c r="D138" s="672" t="s">
        <v>334</v>
      </c>
      <c r="E138" s="672" t="s">
        <v>1696</v>
      </c>
      <c r="F138" s="672" t="s">
        <v>1697</v>
      </c>
      <c r="G138" s="672" t="s">
        <v>1698</v>
      </c>
      <c r="H138" s="673" t="s">
        <v>1696</v>
      </c>
      <c r="I138" s="674" t="s">
        <v>1696</v>
      </c>
      <c r="Q138" s="696"/>
    </row>
    <row r="139" spans="1:18" x14ac:dyDescent="0.35">
      <c r="A139" s="675"/>
      <c r="B139" s="694"/>
      <c r="C139" s="677">
        <f>B139/1000</f>
        <v>0</v>
      </c>
      <c r="D139" s="677">
        <f>'Emission Factors'!$B$65*C139</f>
        <v>0</v>
      </c>
      <c r="E139" s="677">
        <f>D139*'Emission Factors'!$C$65*0.001</f>
        <v>0</v>
      </c>
      <c r="F139" s="677">
        <f>E139*'Emission Factors'!$D$65*0.001</f>
        <v>0</v>
      </c>
      <c r="G139" s="677">
        <f>F139*'Emission Factors'!$E$65*0.001</f>
        <v>0</v>
      </c>
      <c r="H139" s="678">
        <f t="shared" ref="H139:H148" si="11">E139+F139+G139</f>
        <v>0</v>
      </c>
      <c r="I139" s="679">
        <f>D139*'Emission Factors'!$G$65*0.001</f>
        <v>0</v>
      </c>
    </row>
    <row r="140" spans="1:18" x14ac:dyDescent="0.35">
      <c r="A140" s="675"/>
      <c r="B140" s="694"/>
      <c r="C140" s="677">
        <f t="shared" ref="C140:C147" si="12">B140/1000</f>
        <v>0</v>
      </c>
      <c r="D140" s="677">
        <f>'Emission Factors'!$B$65*C140</f>
        <v>0</v>
      </c>
      <c r="E140" s="677">
        <f>D140*'Emission Factors'!$C$65*0.001</f>
        <v>0</v>
      </c>
      <c r="F140" s="677">
        <f>E140*'Emission Factors'!$D$65*0.001</f>
        <v>0</v>
      </c>
      <c r="G140" s="677">
        <f>F140*'Emission Factors'!$E$65*0.001</f>
        <v>0</v>
      </c>
      <c r="H140" s="678">
        <f t="shared" si="11"/>
        <v>0</v>
      </c>
      <c r="I140" s="679">
        <f>D140*'Emission Factors'!$G$65*0.001</f>
        <v>0</v>
      </c>
    </row>
    <row r="141" spans="1:18" x14ac:dyDescent="0.35">
      <c r="A141" s="675"/>
      <c r="B141" s="694"/>
      <c r="C141" s="677">
        <f t="shared" si="12"/>
        <v>0</v>
      </c>
      <c r="D141" s="677">
        <f>'Emission Factors'!$B$65*C141</f>
        <v>0</v>
      </c>
      <c r="E141" s="677">
        <f>D141*'Emission Factors'!$C$65*0.001</f>
        <v>0</v>
      </c>
      <c r="F141" s="677">
        <f>E141*'Emission Factors'!$D$65*0.001</f>
        <v>0</v>
      </c>
      <c r="G141" s="677">
        <f>F141*'Emission Factors'!$E$65*0.001</f>
        <v>0</v>
      </c>
      <c r="H141" s="678">
        <f t="shared" si="11"/>
        <v>0</v>
      </c>
      <c r="I141" s="679">
        <f>D141*'Emission Factors'!$G$65*0.001</f>
        <v>0</v>
      </c>
    </row>
    <row r="142" spans="1:18" x14ac:dyDescent="0.35">
      <c r="A142" s="675"/>
      <c r="B142" s="694"/>
      <c r="C142" s="677">
        <f t="shared" si="12"/>
        <v>0</v>
      </c>
      <c r="D142" s="677">
        <f>'Emission Factors'!$B$65*C142</f>
        <v>0</v>
      </c>
      <c r="E142" s="677">
        <f>D142*'Emission Factors'!$C$65*0.001</f>
        <v>0</v>
      </c>
      <c r="F142" s="677">
        <f>E142*'Emission Factors'!$D$65*0.001</f>
        <v>0</v>
      </c>
      <c r="G142" s="677">
        <f>F142*'Emission Factors'!$E$65*0.001</f>
        <v>0</v>
      </c>
      <c r="H142" s="678">
        <f t="shared" si="11"/>
        <v>0</v>
      </c>
      <c r="I142" s="679">
        <f>D142*'Emission Factors'!$G$65*0.001</f>
        <v>0</v>
      </c>
    </row>
    <row r="143" spans="1:18" x14ac:dyDescent="0.35">
      <c r="A143" s="675"/>
      <c r="B143" s="694"/>
      <c r="C143" s="677">
        <f t="shared" si="12"/>
        <v>0</v>
      </c>
      <c r="D143" s="677">
        <f>'Emission Factors'!$B$65*C143</f>
        <v>0</v>
      </c>
      <c r="E143" s="677">
        <f>D143*'Emission Factors'!$C$65*0.001</f>
        <v>0</v>
      </c>
      <c r="F143" s="677">
        <f>E143*'Emission Factors'!$D$65*0.001</f>
        <v>0</v>
      </c>
      <c r="G143" s="677">
        <f>F143*'Emission Factors'!$E$65*0.001</f>
        <v>0</v>
      </c>
      <c r="H143" s="678">
        <f t="shared" si="11"/>
        <v>0</v>
      </c>
      <c r="I143" s="679">
        <f>D143*'Emission Factors'!$G$65*0.001</f>
        <v>0</v>
      </c>
    </row>
    <row r="144" spans="1:18" x14ac:dyDescent="0.35">
      <c r="A144" s="675"/>
      <c r="B144" s="694"/>
      <c r="C144" s="677">
        <f t="shared" si="12"/>
        <v>0</v>
      </c>
      <c r="D144" s="677">
        <f>'Emission Factors'!$B$65*C144</f>
        <v>0</v>
      </c>
      <c r="E144" s="677">
        <f>D144*'Emission Factors'!$C$65*0.001</f>
        <v>0</v>
      </c>
      <c r="F144" s="677">
        <f>E144*'Emission Factors'!$D$65*0.001</f>
        <v>0</v>
      </c>
      <c r="G144" s="677">
        <f>F144*'Emission Factors'!$E$65*0.001</f>
        <v>0</v>
      </c>
      <c r="H144" s="678">
        <f t="shared" si="11"/>
        <v>0</v>
      </c>
      <c r="I144" s="679">
        <f>D144*'Emission Factors'!$G$65*0.001</f>
        <v>0</v>
      </c>
    </row>
    <row r="145" spans="1:16" x14ac:dyDescent="0.35">
      <c r="A145" s="675"/>
      <c r="B145" s="694"/>
      <c r="C145" s="677">
        <f t="shared" si="12"/>
        <v>0</v>
      </c>
      <c r="D145" s="677">
        <f>'Emission Factors'!$B$65*C145</f>
        <v>0</v>
      </c>
      <c r="E145" s="677">
        <f>D145*'Emission Factors'!$C$65*0.001</f>
        <v>0</v>
      </c>
      <c r="F145" s="677">
        <f>E145*'Emission Factors'!$D$65*0.001</f>
        <v>0</v>
      </c>
      <c r="G145" s="677">
        <f>F145*'Emission Factors'!$E$65*0.001</f>
        <v>0</v>
      </c>
      <c r="H145" s="678">
        <f t="shared" si="11"/>
        <v>0</v>
      </c>
      <c r="I145" s="679">
        <f>D145*'Emission Factors'!$G$65*0.001</f>
        <v>0</v>
      </c>
    </row>
    <row r="146" spans="1:16" x14ac:dyDescent="0.35">
      <c r="A146" s="675"/>
      <c r="B146" s="694"/>
      <c r="C146" s="677">
        <f t="shared" si="12"/>
        <v>0</v>
      </c>
      <c r="D146" s="677">
        <f>'Emission Factors'!$B$65*C146</f>
        <v>0</v>
      </c>
      <c r="E146" s="677">
        <f>D146*'Emission Factors'!$C$65*0.001</f>
        <v>0</v>
      </c>
      <c r="F146" s="677">
        <f>E146*'Emission Factors'!$D$65*0.001</f>
        <v>0</v>
      </c>
      <c r="G146" s="677">
        <f>F146*'Emission Factors'!$E$65*0.001</f>
        <v>0</v>
      </c>
      <c r="H146" s="678">
        <f t="shared" si="11"/>
        <v>0</v>
      </c>
      <c r="I146" s="679">
        <f>D146*'Emission Factors'!$G$65*0.001</f>
        <v>0</v>
      </c>
    </row>
    <row r="147" spans="1:16" x14ac:dyDescent="0.35">
      <c r="A147" s="675"/>
      <c r="B147" s="694"/>
      <c r="C147" s="677">
        <f t="shared" si="12"/>
        <v>0</v>
      </c>
      <c r="D147" s="677">
        <f>'Emission Factors'!$B$65*C147</f>
        <v>0</v>
      </c>
      <c r="E147" s="677">
        <f>D147*'Emission Factors'!$C$65*0.001</f>
        <v>0</v>
      </c>
      <c r="F147" s="677">
        <f>E147*'Emission Factors'!$D$65*0.001</f>
        <v>0</v>
      </c>
      <c r="G147" s="677">
        <f>F147*'Emission Factors'!$E$65*0.001</f>
        <v>0</v>
      </c>
      <c r="H147" s="678">
        <f t="shared" si="11"/>
        <v>0</v>
      </c>
      <c r="I147" s="679">
        <f>D147*'Emission Factors'!$G$65*0.001</f>
        <v>0</v>
      </c>
    </row>
    <row r="148" spans="1:16" ht="16" thickBot="1" x14ac:dyDescent="0.4">
      <c r="A148" s="675"/>
      <c r="B148" s="694"/>
      <c r="C148" s="677">
        <f>B148/1000</f>
        <v>0</v>
      </c>
      <c r="D148" s="677">
        <f>'Emission Factors'!$B$65*C148</f>
        <v>0</v>
      </c>
      <c r="E148" s="677">
        <f>D148*'Emission Factors'!$C$65*0.001</f>
        <v>0</v>
      </c>
      <c r="F148" s="677">
        <f>E148*'Emission Factors'!$D$65*0.001</f>
        <v>0</v>
      </c>
      <c r="G148" s="677">
        <f>F148*'Emission Factors'!$E$65*0.001</f>
        <v>0</v>
      </c>
      <c r="H148" s="695">
        <f t="shared" si="11"/>
        <v>0</v>
      </c>
      <c r="I148" s="679">
        <f>D148*'Emission Factors'!$G$65*0.001</f>
        <v>0</v>
      </c>
    </row>
    <row r="149" spans="1:16" s="667" customFormat="1" ht="24" thickBot="1" x14ac:dyDescent="0.6">
      <c r="A149" s="682" t="s">
        <v>335</v>
      </c>
      <c r="B149" s="683"/>
      <c r="C149" s="683"/>
      <c r="D149" s="683"/>
      <c r="E149" s="666"/>
      <c r="F149" s="683"/>
      <c r="G149" s="684" t="s">
        <v>1699</v>
      </c>
      <c r="H149" s="685">
        <f>SUM(H139:H148)</f>
        <v>0</v>
      </c>
      <c r="I149" s="686">
        <f>SUM(I139:I148)</f>
        <v>0</v>
      </c>
      <c r="J149" s="666"/>
      <c r="K149" s="666"/>
      <c r="L149" s="666"/>
      <c r="M149" s="666"/>
      <c r="N149" s="666"/>
      <c r="O149" s="683"/>
    </row>
    <row r="150" spans="1:16" s="667" customFormat="1" ht="23.5" customHeight="1" thickBot="1" x14ac:dyDescent="0.6">
      <c r="A150" s="1474" t="s">
        <v>354</v>
      </c>
      <c r="B150" s="1475"/>
      <c r="C150" s="1476"/>
      <c r="D150" s="1477" t="s">
        <v>330</v>
      </c>
      <c r="E150" s="1478"/>
      <c r="F150" s="665"/>
      <c r="G150" s="666"/>
      <c r="H150" s="666"/>
      <c r="I150" s="666"/>
      <c r="J150" s="666"/>
      <c r="K150" s="666"/>
      <c r="L150" s="666"/>
      <c r="M150" s="666"/>
      <c r="P150" s="690"/>
    </row>
    <row r="151" spans="1:16" ht="18.5" x14ac:dyDescent="0.45">
      <c r="E151" s="668"/>
      <c r="F151" s="668"/>
      <c r="G151" s="668"/>
      <c r="H151" s="669" t="s">
        <v>39</v>
      </c>
      <c r="I151" s="670" t="s">
        <v>68</v>
      </c>
    </row>
    <row r="152" spans="1:16" ht="110.5" customHeight="1" x14ac:dyDescent="0.35">
      <c r="A152" s="671" t="s">
        <v>331</v>
      </c>
      <c r="B152" s="671" t="s">
        <v>1763</v>
      </c>
      <c r="C152" s="671" t="s">
        <v>353</v>
      </c>
      <c r="D152" s="672" t="s">
        <v>334</v>
      </c>
      <c r="E152" s="672" t="s">
        <v>1696</v>
      </c>
      <c r="F152" s="672" t="s">
        <v>1697</v>
      </c>
      <c r="G152" s="672" t="s">
        <v>1698</v>
      </c>
      <c r="H152" s="673" t="s">
        <v>1696</v>
      </c>
      <c r="I152" s="674" t="s">
        <v>1696</v>
      </c>
    </row>
    <row r="153" spans="1:16" x14ac:dyDescent="0.35">
      <c r="A153" s="675"/>
      <c r="B153" s="687"/>
      <c r="C153" s="688">
        <f>(B153/'Emission Factors'!$B$87)/1000</f>
        <v>0</v>
      </c>
      <c r="D153" s="677">
        <f>'Emission Factors'!$B$65*C153</f>
        <v>0</v>
      </c>
      <c r="E153" s="677">
        <f>D153*'Emission Factors'!$C$65*0.001</f>
        <v>0</v>
      </c>
      <c r="F153" s="677">
        <f>E153*'Emission Factors'!$D$65*0.001</f>
        <v>0</v>
      </c>
      <c r="G153" s="677">
        <f>F153*'Emission Factors'!$E$65*0.001</f>
        <v>0</v>
      </c>
      <c r="H153" s="678">
        <f t="shared" ref="H153:H162" si="13">E153+F153+G153</f>
        <v>0</v>
      </c>
      <c r="I153" s="679">
        <f>D153*'Emission Factors'!$G$65*0.001</f>
        <v>0</v>
      </c>
    </row>
    <row r="154" spans="1:16" x14ac:dyDescent="0.35">
      <c r="A154" s="675"/>
      <c r="B154" s="687"/>
      <c r="C154" s="688">
        <f>(B154/'Emission Factors'!$B$87)/1000</f>
        <v>0</v>
      </c>
      <c r="D154" s="677">
        <f>'Emission Factors'!$B$65*C154</f>
        <v>0</v>
      </c>
      <c r="E154" s="677">
        <f>D154*'Emission Factors'!$C$65*0.001</f>
        <v>0</v>
      </c>
      <c r="F154" s="677">
        <f>E154*'Emission Factors'!$D$65*0.001</f>
        <v>0</v>
      </c>
      <c r="G154" s="677">
        <f>F154*'Emission Factors'!$E$65*0.001</f>
        <v>0</v>
      </c>
      <c r="H154" s="678">
        <f t="shared" si="13"/>
        <v>0</v>
      </c>
      <c r="I154" s="679">
        <f>D154*'Emission Factors'!$G$65*0.001</f>
        <v>0</v>
      </c>
    </row>
    <row r="155" spans="1:16" x14ac:dyDescent="0.35">
      <c r="A155" s="675"/>
      <c r="B155" s="687"/>
      <c r="C155" s="688">
        <f>(B155/'Emission Factors'!$B$87)/1000</f>
        <v>0</v>
      </c>
      <c r="D155" s="677">
        <f>'Emission Factors'!$B$65*C155</f>
        <v>0</v>
      </c>
      <c r="E155" s="677">
        <f>D155*'Emission Factors'!$C$65*0.001</f>
        <v>0</v>
      </c>
      <c r="F155" s="677">
        <f>E155*'Emission Factors'!$D$65*0.001</f>
        <v>0</v>
      </c>
      <c r="G155" s="677">
        <f>F155*'Emission Factors'!$E$65*0.001</f>
        <v>0</v>
      </c>
      <c r="H155" s="678">
        <f t="shared" si="13"/>
        <v>0</v>
      </c>
      <c r="I155" s="679">
        <f>D155*'Emission Factors'!$G$65*0.001</f>
        <v>0</v>
      </c>
    </row>
    <row r="156" spans="1:16" x14ac:dyDescent="0.35">
      <c r="A156" s="675"/>
      <c r="B156" s="687"/>
      <c r="C156" s="688">
        <f>(B156/'Emission Factors'!$B$87)/1000</f>
        <v>0</v>
      </c>
      <c r="D156" s="677">
        <f>'Emission Factors'!$B$65*C156</f>
        <v>0</v>
      </c>
      <c r="E156" s="677">
        <f>D156*'Emission Factors'!$C$65*0.001</f>
        <v>0</v>
      </c>
      <c r="F156" s="677">
        <f>E156*'Emission Factors'!$D$65*0.001</f>
        <v>0</v>
      </c>
      <c r="G156" s="677">
        <f>F156*'Emission Factors'!$E$65*0.001</f>
        <v>0</v>
      </c>
      <c r="H156" s="678">
        <f t="shared" si="13"/>
        <v>0</v>
      </c>
      <c r="I156" s="679">
        <f>D156*'Emission Factors'!$G$65*0.001</f>
        <v>0</v>
      </c>
    </row>
    <row r="157" spans="1:16" x14ac:dyDescent="0.35">
      <c r="A157" s="675"/>
      <c r="B157" s="687"/>
      <c r="C157" s="688">
        <f>(B157/'Emission Factors'!$B$87)/1000</f>
        <v>0</v>
      </c>
      <c r="D157" s="677">
        <f>'Emission Factors'!$B$65*C157</f>
        <v>0</v>
      </c>
      <c r="E157" s="677">
        <f>D157*'Emission Factors'!$C$65*0.001</f>
        <v>0</v>
      </c>
      <c r="F157" s="677">
        <f>E157*'Emission Factors'!$D$65*0.001</f>
        <v>0</v>
      </c>
      <c r="G157" s="677">
        <f>F157*'Emission Factors'!$E$65*0.001</f>
        <v>0</v>
      </c>
      <c r="H157" s="678">
        <f t="shared" si="13"/>
        <v>0</v>
      </c>
      <c r="I157" s="679">
        <f>D157*'Emission Factors'!$G$65*0.001</f>
        <v>0</v>
      </c>
    </row>
    <row r="158" spans="1:16" x14ac:dyDescent="0.35">
      <c r="A158" s="675"/>
      <c r="B158" s="687"/>
      <c r="C158" s="688">
        <f>(B158/'Emission Factors'!$B$87)/1000</f>
        <v>0</v>
      </c>
      <c r="D158" s="677">
        <f>'Emission Factors'!$B$65*C158</f>
        <v>0</v>
      </c>
      <c r="E158" s="677">
        <f>D158*'Emission Factors'!$C$65*0.001</f>
        <v>0</v>
      </c>
      <c r="F158" s="677">
        <f>E158*'Emission Factors'!$D$65*0.001</f>
        <v>0</v>
      </c>
      <c r="G158" s="677">
        <f>F158*'Emission Factors'!$E$65*0.001</f>
        <v>0</v>
      </c>
      <c r="H158" s="678">
        <f t="shared" si="13"/>
        <v>0</v>
      </c>
      <c r="I158" s="679">
        <f>D158*'Emission Factors'!$G$65*0.001</f>
        <v>0</v>
      </c>
    </row>
    <row r="159" spans="1:16" x14ac:dyDescent="0.35">
      <c r="A159" s="675"/>
      <c r="B159" s="687"/>
      <c r="C159" s="688">
        <f>(B159/'Emission Factors'!$B$87)/1000</f>
        <v>0</v>
      </c>
      <c r="D159" s="677">
        <f>'Emission Factors'!$B$65*C159</f>
        <v>0</v>
      </c>
      <c r="E159" s="677">
        <f>D159*'Emission Factors'!$C$65*0.001</f>
        <v>0</v>
      </c>
      <c r="F159" s="677">
        <f>E159*'Emission Factors'!$D$65*0.001</f>
        <v>0</v>
      </c>
      <c r="G159" s="677">
        <f>F159*'Emission Factors'!$E$65*0.001</f>
        <v>0</v>
      </c>
      <c r="H159" s="678">
        <f t="shared" si="13"/>
        <v>0</v>
      </c>
      <c r="I159" s="679">
        <f>D159*'Emission Factors'!$G$65*0.001</f>
        <v>0</v>
      </c>
    </row>
    <row r="160" spans="1:16" x14ac:dyDescent="0.35">
      <c r="A160" s="675"/>
      <c r="B160" s="687"/>
      <c r="C160" s="688">
        <f>(B160/'Emission Factors'!$B$87)/1000</f>
        <v>0</v>
      </c>
      <c r="D160" s="677">
        <f>'Emission Factors'!$B$65*C160</f>
        <v>0</v>
      </c>
      <c r="E160" s="677">
        <f>D160*'Emission Factors'!$C$65*0.001</f>
        <v>0</v>
      </c>
      <c r="F160" s="677">
        <f>E160*'Emission Factors'!$D$65*0.001</f>
        <v>0</v>
      </c>
      <c r="G160" s="677">
        <f>F160*'Emission Factors'!$E$65*0.001</f>
        <v>0</v>
      </c>
      <c r="H160" s="678">
        <f t="shared" si="13"/>
        <v>0</v>
      </c>
      <c r="I160" s="679">
        <f>D160*'Emission Factors'!$G$65*0.001</f>
        <v>0</v>
      </c>
    </row>
    <row r="161" spans="1:18" x14ac:dyDescent="0.35">
      <c r="A161" s="675"/>
      <c r="B161" s="687"/>
      <c r="C161" s="688">
        <f>(B161/'Emission Factors'!$B$87)/1000</f>
        <v>0</v>
      </c>
      <c r="D161" s="677">
        <f>'Emission Factors'!$B$65*C161</f>
        <v>0</v>
      </c>
      <c r="E161" s="677">
        <f>D161*'Emission Factors'!$C$65*0.001</f>
        <v>0</v>
      </c>
      <c r="F161" s="677">
        <f>E161*'Emission Factors'!$D$65*0.001</f>
        <v>0</v>
      </c>
      <c r="G161" s="677">
        <f>F161*'Emission Factors'!$E$65*0.001</f>
        <v>0</v>
      </c>
      <c r="H161" s="678">
        <f t="shared" si="13"/>
        <v>0</v>
      </c>
      <c r="I161" s="679">
        <f>D161*'Emission Factors'!$G$65*0.001</f>
        <v>0</v>
      </c>
    </row>
    <row r="162" spans="1:18" ht="16" thickBot="1" x14ac:dyDescent="0.4">
      <c r="A162" s="675"/>
      <c r="B162" s="687"/>
      <c r="C162" s="688">
        <f>(B162/'Emission Factors'!$B$87)/1000</f>
        <v>0</v>
      </c>
      <c r="D162" s="677">
        <f>'Emission Factors'!$B$65*C162</f>
        <v>0</v>
      </c>
      <c r="E162" s="677">
        <f>D162*'Emission Factors'!$C$65*0.001</f>
        <v>0</v>
      </c>
      <c r="F162" s="677">
        <f>E162*'Emission Factors'!$D$65*0.001</f>
        <v>0</v>
      </c>
      <c r="G162" s="677">
        <f>F162*'Emission Factors'!$E$65*0.001</f>
        <v>0</v>
      </c>
      <c r="H162" s="695">
        <f t="shared" si="13"/>
        <v>0</v>
      </c>
      <c r="I162" s="679">
        <f>D162*'Emission Factors'!$G$65*0.001</f>
        <v>0</v>
      </c>
    </row>
    <row r="163" spans="1:18" ht="24" thickBot="1" x14ac:dyDescent="0.6">
      <c r="A163" s="693"/>
      <c r="D163" s="683"/>
      <c r="E163" s="666"/>
      <c r="F163" s="683"/>
      <c r="G163" s="684" t="s">
        <v>1699</v>
      </c>
      <c r="H163" s="685">
        <f>SUM(H153:H162)</f>
        <v>0</v>
      </c>
      <c r="I163" s="686">
        <f>SUM(I153:I162)</f>
        <v>0</v>
      </c>
      <c r="J163" s="666"/>
      <c r="K163" s="666"/>
      <c r="L163" s="666"/>
      <c r="M163" s="666"/>
      <c r="N163" s="666"/>
      <c r="O163" s="683"/>
      <c r="P163" s="667"/>
    </row>
    <row r="165" spans="1:18" s="664" customFormat="1" ht="36" x14ac:dyDescent="0.8">
      <c r="A165" s="1463" t="s">
        <v>355</v>
      </c>
      <c r="B165" s="1464"/>
      <c r="C165" s="1464"/>
      <c r="D165" s="1464"/>
      <c r="E165" s="1464"/>
      <c r="F165" s="1464"/>
      <c r="G165" s="1464"/>
      <c r="H165" s="1464"/>
      <c r="I165" s="1464"/>
      <c r="J165" s="1464"/>
      <c r="K165" s="1464"/>
      <c r="L165" s="1464"/>
      <c r="M165" s="1464"/>
      <c r="N165" s="1464"/>
      <c r="O165" s="1464"/>
      <c r="P165" s="1464"/>
      <c r="Q165" s="1464"/>
      <c r="R165" s="1464"/>
    </row>
    <row r="166" spans="1:18" s="667" customFormat="1" ht="24" thickBot="1" x14ac:dyDescent="0.6">
      <c r="A166" s="1474" t="s">
        <v>356</v>
      </c>
      <c r="B166" s="1475"/>
      <c r="C166" s="1476"/>
      <c r="D166" s="1461" t="s">
        <v>330</v>
      </c>
      <c r="E166" s="1462"/>
      <c r="F166" s="683"/>
      <c r="G166" s="666"/>
      <c r="H166" s="666"/>
      <c r="I166" s="666"/>
      <c r="J166" s="666"/>
      <c r="K166" s="666"/>
      <c r="L166" s="666"/>
      <c r="M166" s="666"/>
      <c r="N166" s="666"/>
      <c r="O166" s="691"/>
      <c r="Q166" s="691"/>
    </row>
    <row r="167" spans="1:18" ht="18.5" x14ac:dyDescent="0.45">
      <c r="E167" s="668"/>
      <c r="F167" s="668"/>
      <c r="G167" s="668"/>
      <c r="H167" s="669" t="s">
        <v>39</v>
      </c>
      <c r="I167" s="670" t="s">
        <v>68</v>
      </c>
    </row>
    <row r="168" spans="1:18" ht="31" x14ac:dyDescent="0.35">
      <c r="A168" s="697" t="s">
        <v>331</v>
      </c>
      <c r="B168" s="697" t="s">
        <v>357</v>
      </c>
      <c r="C168" s="672" t="s">
        <v>358</v>
      </c>
      <c r="D168" s="672" t="s">
        <v>334</v>
      </c>
      <c r="E168" s="672" t="s">
        <v>1696</v>
      </c>
      <c r="F168" s="672" t="s">
        <v>1697</v>
      </c>
      <c r="G168" s="672" t="s">
        <v>1698</v>
      </c>
      <c r="H168" s="673" t="s">
        <v>1696</v>
      </c>
      <c r="I168" s="674" t="s">
        <v>1696</v>
      </c>
    </row>
    <row r="169" spans="1:18" x14ac:dyDescent="0.35">
      <c r="A169" s="698"/>
      <c r="B169" s="694"/>
      <c r="C169" s="677">
        <f>B169/1000</f>
        <v>0</v>
      </c>
      <c r="D169" s="677">
        <f>'Emission Factors'!$B$69*C169</f>
        <v>0</v>
      </c>
      <c r="E169" s="677">
        <f>'Emission Factors'!$C$69*D169</f>
        <v>0</v>
      </c>
      <c r="F169" s="677">
        <f>'Emission Factors'!$D$69*D169</f>
        <v>0</v>
      </c>
      <c r="G169" s="677">
        <f>'Emission Factors'!$E$69*D169</f>
        <v>0</v>
      </c>
      <c r="H169" s="678">
        <f t="shared" ref="H169:H178" si="14">E169+F169+G169</f>
        <v>0</v>
      </c>
      <c r="I169" s="679">
        <f>D169*'Emission Factors'!$G$69*0.001</f>
        <v>0</v>
      </c>
    </row>
    <row r="170" spans="1:18" x14ac:dyDescent="0.35">
      <c r="A170" s="698"/>
      <c r="B170" s="694"/>
      <c r="C170" s="677">
        <f t="shared" ref="C170:C178" si="15">B170/1000</f>
        <v>0</v>
      </c>
      <c r="D170" s="677">
        <f>'Emission Factors'!$B$69*C170</f>
        <v>0</v>
      </c>
      <c r="E170" s="677">
        <f>'Emission Factors'!$C$69*D170</f>
        <v>0</v>
      </c>
      <c r="F170" s="677">
        <f>'Emission Factors'!$D$69*D170</f>
        <v>0</v>
      </c>
      <c r="G170" s="677">
        <f>'Emission Factors'!$E$69*D170</f>
        <v>0</v>
      </c>
      <c r="H170" s="678">
        <f t="shared" si="14"/>
        <v>0</v>
      </c>
      <c r="I170" s="679">
        <f>D170*'Emission Factors'!$G$69*0.001</f>
        <v>0</v>
      </c>
    </row>
    <row r="171" spans="1:18" x14ac:dyDescent="0.35">
      <c r="A171" s="698"/>
      <c r="B171" s="694"/>
      <c r="C171" s="677">
        <f t="shared" si="15"/>
        <v>0</v>
      </c>
      <c r="D171" s="677">
        <f>'Emission Factors'!$B$69*C171</f>
        <v>0</v>
      </c>
      <c r="E171" s="677">
        <f>'Emission Factors'!$C$69*D171</f>
        <v>0</v>
      </c>
      <c r="F171" s="677">
        <f>'Emission Factors'!$D$69*D171</f>
        <v>0</v>
      </c>
      <c r="G171" s="677">
        <f>'Emission Factors'!$E$69*D171</f>
        <v>0</v>
      </c>
      <c r="H171" s="678">
        <f t="shared" si="14"/>
        <v>0</v>
      </c>
      <c r="I171" s="679">
        <f>D171*'Emission Factors'!$G$69*0.001</f>
        <v>0</v>
      </c>
    </row>
    <row r="172" spans="1:18" x14ac:dyDescent="0.35">
      <c r="A172" s="698"/>
      <c r="B172" s="694"/>
      <c r="C172" s="677">
        <f t="shared" si="15"/>
        <v>0</v>
      </c>
      <c r="D172" s="677">
        <f>'Emission Factors'!$B$69*C172</f>
        <v>0</v>
      </c>
      <c r="E172" s="677">
        <f>'Emission Factors'!$C$69*D172</f>
        <v>0</v>
      </c>
      <c r="F172" s="677">
        <f>'Emission Factors'!$D$69*D172</f>
        <v>0</v>
      </c>
      <c r="G172" s="677">
        <f>'Emission Factors'!$E$69*D172</f>
        <v>0</v>
      </c>
      <c r="H172" s="678">
        <f t="shared" si="14"/>
        <v>0</v>
      </c>
      <c r="I172" s="679">
        <f>D172*'Emission Factors'!$G$69*0.001</f>
        <v>0</v>
      </c>
    </row>
    <row r="173" spans="1:18" x14ac:dyDescent="0.35">
      <c r="A173" s="698"/>
      <c r="B173" s="694"/>
      <c r="C173" s="677">
        <f t="shared" si="15"/>
        <v>0</v>
      </c>
      <c r="D173" s="677">
        <f>'Emission Factors'!$B$69*C173</f>
        <v>0</v>
      </c>
      <c r="E173" s="677">
        <f>'Emission Factors'!$C$69*D173</f>
        <v>0</v>
      </c>
      <c r="F173" s="677">
        <f>'Emission Factors'!$D$69*D173</f>
        <v>0</v>
      </c>
      <c r="G173" s="677">
        <f>'Emission Factors'!$E$69*D173</f>
        <v>0</v>
      </c>
      <c r="H173" s="678">
        <f t="shared" si="14"/>
        <v>0</v>
      </c>
      <c r="I173" s="679">
        <f>D173*'Emission Factors'!$G$69*0.001</f>
        <v>0</v>
      </c>
    </row>
    <row r="174" spans="1:18" x14ac:dyDescent="0.35">
      <c r="A174" s="698"/>
      <c r="B174" s="694"/>
      <c r="C174" s="677">
        <f t="shared" si="15"/>
        <v>0</v>
      </c>
      <c r="D174" s="677">
        <f>'Emission Factors'!$B$69*C174</f>
        <v>0</v>
      </c>
      <c r="E174" s="677">
        <f>'Emission Factors'!$C$69*D174</f>
        <v>0</v>
      </c>
      <c r="F174" s="677">
        <f>'Emission Factors'!$D$69*D174</f>
        <v>0</v>
      </c>
      <c r="G174" s="677">
        <f>'Emission Factors'!$E$69*D174</f>
        <v>0</v>
      </c>
      <c r="H174" s="678">
        <f t="shared" si="14"/>
        <v>0</v>
      </c>
      <c r="I174" s="679">
        <f>D174*'Emission Factors'!$G$69*0.001</f>
        <v>0</v>
      </c>
    </row>
    <row r="175" spans="1:18" x14ac:dyDescent="0.35">
      <c r="A175" s="698"/>
      <c r="B175" s="694"/>
      <c r="C175" s="677">
        <f t="shared" si="15"/>
        <v>0</v>
      </c>
      <c r="D175" s="677">
        <f>'Emission Factors'!$B$69*C175</f>
        <v>0</v>
      </c>
      <c r="E175" s="677">
        <f>'Emission Factors'!$C$69*D175</f>
        <v>0</v>
      </c>
      <c r="F175" s="677">
        <f>'Emission Factors'!$D$69*D175</f>
        <v>0</v>
      </c>
      <c r="G175" s="677">
        <f>'Emission Factors'!$E$69*D175</f>
        <v>0</v>
      </c>
      <c r="H175" s="678">
        <f t="shared" si="14"/>
        <v>0</v>
      </c>
      <c r="I175" s="679">
        <f>D175*'Emission Factors'!$G$69*0.001</f>
        <v>0</v>
      </c>
    </row>
    <row r="176" spans="1:18" x14ac:dyDescent="0.35">
      <c r="A176" s="698"/>
      <c r="B176" s="694"/>
      <c r="C176" s="677">
        <f t="shared" si="15"/>
        <v>0</v>
      </c>
      <c r="D176" s="677">
        <f>'Emission Factors'!$B$69*C176</f>
        <v>0</v>
      </c>
      <c r="E176" s="677">
        <f>'Emission Factors'!$C$69*D176</f>
        <v>0</v>
      </c>
      <c r="F176" s="677">
        <f>'Emission Factors'!$D$69*D176</f>
        <v>0</v>
      </c>
      <c r="G176" s="677">
        <f>'Emission Factors'!$E$69*D176</f>
        <v>0</v>
      </c>
      <c r="H176" s="678">
        <f t="shared" si="14"/>
        <v>0</v>
      </c>
      <c r="I176" s="679">
        <f>D176*'Emission Factors'!$G$69*0.001</f>
        <v>0</v>
      </c>
    </row>
    <row r="177" spans="1:9" x14ac:dyDescent="0.35">
      <c r="A177" s="698"/>
      <c r="B177" s="694"/>
      <c r="C177" s="677">
        <f t="shared" si="15"/>
        <v>0</v>
      </c>
      <c r="D177" s="677">
        <f>'Emission Factors'!$B$69*C177</f>
        <v>0</v>
      </c>
      <c r="E177" s="677">
        <f>'Emission Factors'!$C$69*D177</f>
        <v>0</v>
      </c>
      <c r="F177" s="677">
        <f>'Emission Factors'!$D$69*D177</f>
        <v>0</v>
      </c>
      <c r="G177" s="677">
        <f>'Emission Factors'!$E$69*D177</f>
        <v>0</v>
      </c>
      <c r="H177" s="678">
        <f t="shared" si="14"/>
        <v>0</v>
      </c>
      <c r="I177" s="679">
        <f>D177*'Emission Factors'!$G$69*0.001</f>
        <v>0</v>
      </c>
    </row>
    <row r="178" spans="1:9" ht="16" thickBot="1" x14ac:dyDescent="0.4">
      <c r="A178" s="698"/>
      <c r="B178" s="694"/>
      <c r="C178" s="677">
        <f t="shared" si="15"/>
        <v>0</v>
      </c>
      <c r="D178" s="677">
        <f>'Emission Factors'!$B$69*C178</f>
        <v>0</v>
      </c>
      <c r="E178" s="677">
        <f>'Emission Factors'!$C$69*D178</f>
        <v>0</v>
      </c>
      <c r="F178" s="677">
        <f>'Emission Factors'!$D$69*D178</f>
        <v>0</v>
      </c>
      <c r="G178" s="677">
        <f>'Emission Factors'!$E$69*D178</f>
        <v>0</v>
      </c>
      <c r="H178" s="695">
        <f t="shared" si="14"/>
        <v>0</v>
      </c>
      <c r="I178" s="679">
        <f>D178*'Emission Factors'!$G$69*0.001</f>
        <v>0</v>
      </c>
    </row>
    <row r="179" spans="1:9" ht="31.5" thickBot="1" x14ac:dyDescent="0.4">
      <c r="A179" s="699" t="s">
        <v>359</v>
      </c>
      <c r="B179" s="700" t="s">
        <v>360</v>
      </c>
      <c r="G179" s="684" t="s">
        <v>1699</v>
      </c>
      <c r="H179" s="685">
        <f>SUM(H169:H178)</f>
        <v>0</v>
      </c>
      <c r="I179" s="686">
        <f>SUM(I169:I178)</f>
        <v>0</v>
      </c>
    </row>
    <row r="180" spans="1:9" s="667" customFormat="1" ht="23.5" x14ac:dyDescent="0.55000000000000004">
      <c r="A180" s="682" t="s">
        <v>335</v>
      </c>
    </row>
    <row r="181" spans="1:9" s="667" customFormat="1" ht="24" thickBot="1" x14ac:dyDescent="0.6">
      <c r="A181" s="1474" t="s">
        <v>361</v>
      </c>
      <c r="B181" s="1475"/>
      <c r="C181" s="1476"/>
      <c r="D181" s="1461" t="s">
        <v>330</v>
      </c>
      <c r="E181" s="1462"/>
      <c r="F181" s="683"/>
      <c r="G181" s="666"/>
      <c r="H181" s="666"/>
    </row>
    <row r="182" spans="1:9" ht="18.5" x14ac:dyDescent="0.45">
      <c r="E182" s="668"/>
      <c r="F182" s="668"/>
      <c r="G182" s="668"/>
      <c r="H182" s="669" t="s">
        <v>39</v>
      </c>
      <c r="I182" s="670" t="s">
        <v>68</v>
      </c>
    </row>
    <row r="183" spans="1:9" ht="31" x14ac:dyDescent="0.35">
      <c r="A183" s="697" t="s">
        <v>331</v>
      </c>
      <c r="B183" s="697" t="s">
        <v>362</v>
      </c>
      <c r="C183" s="697" t="s">
        <v>1716</v>
      </c>
      <c r="D183" s="672" t="s">
        <v>334</v>
      </c>
      <c r="E183" s="672" t="s">
        <v>1696</v>
      </c>
      <c r="F183" s="672" t="s">
        <v>1697</v>
      </c>
      <c r="G183" s="672" t="s">
        <v>1698</v>
      </c>
      <c r="H183" s="673" t="s">
        <v>1696</v>
      </c>
      <c r="I183" s="674" t="s">
        <v>1696</v>
      </c>
    </row>
    <row r="184" spans="1:9" x14ac:dyDescent="0.35">
      <c r="A184" s="698"/>
      <c r="B184" s="687"/>
      <c r="C184" s="677">
        <f>(B184/'Emission Factors'!$B$88)/1000</f>
        <v>0</v>
      </c>
      <c r="D184" s="677">
        <f>'Emission Factors'!$B$69*C184</f>
        <v>0</v>
      </c>
      <c r="E184" s="677">
        <f>'Emission Factors'!$C$69*D184</f>
        <v>0</v>
      </c>
      <c r="F184" s="677">
        <f>'Emission Factors'!$D$69*D184</f>
        <v>0</v>
      </c>
      <c r="G184" s="677">
        <f>'Emission Factors'!$E$69*D184</f>
        <v>0</v>
      </c>
      <c r="H184" s="678">
        <f t="shared" ref="H184:H193" si="16">E184+F184+G184</f>
        <v>0</v>
      </c>
      <c r="I184" s="679">
        <f>D184*'Emission Factors'!$G$69*0.001</f>
        <v>0</v>
      </c>
    </row>
    <row r="185" spans="1:9" x14ac:dyDescent="0.35">
      <c r="A185" s="698"/>
      <c r="B185" s="687"/>
      <c r="C185" s="677">
        <f>(B185/'Emission Factors'!$B$88)/1000</f>
        <v>0</v>
      </c>
      <c r="D185" s="677">
        <f>'Emission Factors'!$B$69*C185</f>
        <v>0</v>
      </c>
      <c r="E185" s="677">
        <f>'Emission Factors'!$C$69*D185</f>
        <v>0</v>
      </c>
      <c r="F185" s="677">
        <f>'Emission Factors'!$D$69*D185</f>
        <v>0</v>
      </c>
      <c r="G185" s="677">
        <f>'Emission Factors'!$E$69*D185</f>
        <v>0</v>
      </c>
      <c r="H185" s="678">
        <f t="shared" si="16"/>
        <v>0</v>
      </c>
      <c r="I185" s="679">
        <f>D185*'Emission Factors'!$G$69*0.001</f>
        <v>0</v>
      </c>
    </row>
    <row r="186" spans="1:9" x14ac:dyDescent="0.35">
      <c r="A186" s="698"/>
      <c r="B186" s="687"/>
      <c r="C186" s="677">
        <f>(B186/'Emission Factors'!$B$88)/1000</f>
        <v>0</v>
      </c>
      <c r="D186" s="677">
        <f>'Emission Factors'!$B$69*C186</f>
        <v>0</v>
      </c>
      <c r="E186" s="677">
        <f>'Emission Factors'!$C$69*D186</f>
        <v>0</v>
      </c>
      <c r="F186" s="677">
        <f>'Emission Factors'!$D$69*D186</f>
        <v>0</v>
      </c>
      <c r="G186" s="677">
        <f>'Emission Factors'!$E$69*D186</f>
        <v>0</v>
      </c>
      <c r="H186" s="678">
        <f t="shared" si="16"/>
        <v>0</v>
      </c>
      <c r="I186" s="679">
        <f>D186*'Emission Factors'!$G$69*0.001</f>
        <v>0</v>
      </c>
    </row>
    <row r="187" spans="1:9" x14ac:dyDescent="0.35">
      <c r="A187" s="698"/>
      <c r="B187" s="687"/>
      <c r="C187" s="677">
        <f>(B187/'Emission Factors'!$B$88)/1000</f>
        <v>0</v>
      </c>
      <c r="D187" s="677">
        <f>'Emission Factors'!$B$69*C187</f>
        <v>0</v>
      </c>
      <c r="E187" s="677">
        <f>'Emission Factors'!$C$69*D187</f>
        <v>0</v>
      </c>
      <c r="F187" s="677">
        <f>'Emission Factors'!$D$69*D187</f>
        <v>0</v>
      </c>
      <c r="G187" s="677">
        <f>'Emission Factors'!$E$69*D187</f>
        <v>0</v>
      </c>
      <c r="H187" s="678">
        <f t="shared" si="16"/>
        <v>0</v>
      </c>
      <c r="I187" s="679">
        <f>D187*'Emission Factors'!$G$69*0.001</f>
        <v>0</v>
      </c>
    </row>
    <row r="188" spans="1:9" x14ac:dyDescent="0.35">
      <c r="A188" s="698"/>
      <c r="B188" s="687"/>
      <c r="C188" s="677">
        <f>(B188/'Emission Factors'!$B$88)/1000</f>
        <v>0</v>
      </c>
      <c r="D188" s="677">
        <f>'Emission Factors'!$B$69*C188</f>
        <v>0</v>
      </c>
      <c r="E188" s="677">
        <f>'Emission Factors'!$C$69*D188</f>
        <v>0</v>
      </c>
      <c r="F188" s="677">
        <f>'Emission Factors'!$D$69*D188</f>
        <v>0</v>
      </c>
      <c r="G188" s="677">
        <f>'Emission Factors'!$E$69*D188</f>
        <v>0</v>
      </c>
      <c r="H188" s="678">
        <f t="shared" si="16"/>
        <v>0</v>
      </c>
      <c r="I188" s="679">
        <f>D188*'Emission Factors'!$G$69*0.001</f>
        <v>0</v>
      </c>
    </row>
    <row r="189" spans="1:9" x14ac:dyDescent="0.35">
      <c r="A189" s="698"/>
      <c r="B189" s="687"/>
      <c r="C189" s="677">
        <f>(B189/'Emission Factors'!$B$88)/1000</f>
        <v>0</v>
      </c>
      <c r="D189" s="677">
        <f>'Emission Factors'!$B$69*C189</f>
        <v>0</v>
      </c>
      <c r="E189" s="677">
        <f>'Emission Factors'!$C$69*D189</f>
        <v>0</v>
      </c>
      <c r="F189" s="677">
        <f>'Emission Factors'!$D$69*D189</f>
        <v>0</v>
      </c>
      <c r="G189" s="677">
        <f>'Emission Factors'!$E$69*D189</f>
        <v>0</v>
      </c>
      <c r="H189" s="678">
        <f t="shared" si="16"/>
        <v>0</v>
      </c>
      <c r="I189" s="679">
        <f>D189*'Emission Factors'!$G$69*0.001</f>
        <v>0</v>
      </c>
    </row>
    <row r="190" spans="1:9" x14ac:dyDescent="0.35">
      <c r="A190" s="698"/>
      <c r="B190" s="687"/>
      <c r="C190" s="677">
        <f>(B190/'Emission Factors'!$B$88)/1000</f>
        <v>0</v>
      </c>
      <c r="D190" s="677">
        <f>'Emission Factors'!$B$69*C190</f>
        <v>0</v>
      </c>
      <c r="E190" s="677">
        <f>'Emission Factors'!$C$69*D190</f>
        <v>0</v>
      </c>
      <c r="F190" s="677">
        <f>'Emission Factors'!$D$69*D190</f>
        <v>0</v>
      </c>
      <c r="G190" s="677">
        <f>'Emission Factors'!$E$69*D190</f>
        <v>0</v>
      </c>
      <c r="H190" s="678">
        <f t="shared" si="16"/>
        <v>0</v>
      </c>
      <c r="I190" s="679">
        <f>D190*'Emission Factors'!$G$69*0.001</f>
        <v>0</v>
      </c>
    </row>
    <row r="191" spans="1:9" x14ac:dyDescent="0.35">
      <c r="A191" s="698"/>
      <c r="B191" s="687"/>
      <c r="C191" s="677">
        <f>(B191/'Emission Factors'!$B$88)/1000</f>
        <v>0</v>
      </c>
      <c r="D191" s="677">
        <f>'Emission Factors'!$B$69*C191</f>
        <v>0</v>
      </c>
      <c r="E191" s="677">
        <f>'Emission Factors'!$C$69*D191</f>
        <v>0</v>
      </c>
      <c r="F191" s="677">
        <f>'Emission Factors'!$D$69*D191</f>
        <v>0</v>
      </c>
      <c r="G191" s="677">
        <f>'Emission Factors'!$E$69*D191</f>
        <v>0</v>
      </c>
      <c r="H191" s="678">
        <f t="shared" si="16"/>
        <v>0</v>
      </c>
      <c r="I191" s="679">
        <f>D191*'Emission Factors'!$G$69*0.001</f>
        <v>0</v>
      </c>
    </row>
    <row r="192" spans="1:9" x14ac:dyDescent="0.35">
      <c r="A192" s="698"/>
      <c r="B192" s="687"/>
      <c r="C192" s="677">
        <f>(B192/'Emission Factors'!$B$88)/1000</f>
        <v>0</v>
      </c>
      <c r="D192" s="677">
        <f>'Emission Factors'!$B$69*C192</f>
        <v>0</v>
      </c>
      <c r="E192" s="677">
        <f>'Emission Factors'!$C$69*D192</f>
        <v>0</v>
      </c>
      <c r="F192" s="677">
        <f>'Emission Factors'!$D$69*D192</f>
        <v>0</v>
      </c>
      <c r="G192" s="677">
        <f>'Emission Factors'!$E$69*D192</f>
        <v>0</v>
      </c>
      <c r="H192" s="678">
        <f t="shared" si="16"/>
        <v>0</v>
      </c>
      <c r="I192" s="679">
        <f>D192*'Emission Factors'!$G$69*0.001</f>
        <v>0</v>
      </c>
    </row>
    <row r="193" spans="1:18" ht="16" thickBot="1" x14ac:dyDescent="0.4">
      <c r="A193" s="698"/>
      <c r="B193" s="687"/>
      <c r="C193" s="677">
        <f>(B193/'Emission Factors'!$B$88)/1000</f>
        <v>0</v>
      </c>
      <c r="D193" s="677">
        <f>'Emission Factors'!$B$69*C193</f>
        <v>0</v>
      </c>
      <c r="E193" s="677">
        <f>'Emission Factors'!$C$69*D193</f>
        <v>0</v>
      </c>
      <c r="F193" s="677">
        <f>'Emission Factors'!$D$69*D193</f>
        <v>0</v>
      </c>
      <c r="G193" s="677">
        <f>'Emission Factors'!$E$69*D193</f>
        <v>0</v>
      </c>
      <c r="H193" s="695">
        <f t="shared" si="16"/>
        <v>0</v>
      </c>
      <c r="I193" s="679">
        <f>D193*'Emission Factors'!$G$69*0.001</f>
        <v>0</v>
      </c>
    </row>
    <row r="194" spans="1:18" ht="16" thickBot="1" x14ac:dyDescent="0.4">
      <c r="A194" s="693"/>
      <c r="G194" s="684" t="s">
        <v>1699</v>
      </c>
      <c r="H194" s="685">
        <f>SUM(H184:H193)</f>
        <v>0</v>
      </c>
      <c r="I194" s="686">
        <f>SUM(I184:I193)</f>
        <v>0</v>
      </c>
    </row>
    <row r="196" spans="1:18" s="664" customFormat="1" ht="36" x14ac:dyDescent="0.8">
      <c r="A196" s="1463" t="s">
        <v>363</v>
      </c>
      <c r="B196" s="1464"/>
      <c r="C196" s="1464"/>
      <c r="D196" s="1464"/>
      <c r="E196" s="1464"/>
      <c r="F196" s="1464"/>
      <c r="G196" s="1464"/>
      <c r="H196" s="1464"/>
      <c r="I196" s="1464"/>
      <c r="J196" s="1464"/>
      <c r="K196" s="1464"/>
      <c r="L196" s="1464"/>
      <c r="M196" s="1464"/>
      <c r="N196" s="1464"/>
      <c r="O196" s="1464"/>
      <c r="P196" s="1464"/>
      <c r="Q196" s="1464"/>
      <c r="R196" s="1464"/>
    </row>
    <row r="197" spans="1:18" s="667" customFormat="1" ht="24" thickBot="1" x14ac:dyDescent="0.6">
      <c r="A197" s="1474" t="s">
        <v>364</v>
      </c>
      <c r="B197" s="1475"/>
      <c r="C197" s="1476"/>
      <c r="D197" s="1477" t="s">
        <v>330</v>
      </c>
      <c r="E197" s="1478"/>
      <c r="F197" s="683"/>
      <c r="G197" s="666"/>
      <c r="H197" s="666"/>
      <c r="I197" s="666"/>
      <c r="J197" s="666"/>
      <c r="K197" s="666"/>
      <c r="L197" s="666"/>
      <c r="M197" s="666"/>
      <c r="N197" s="690"/>
      <c r="P197" s="691"/>
    </row>
    <row r="198" spans="1:18" ht="18.5" x14ac:dyDescent="0.45">
      <c r="E198" s="668"/>
      <c r="F198" s="668"/>
      <c r="G198" s="668"/>
      <c r="H198" s="669" t="s">
        <v>39</v>
      </c>
      <c r="I198" s="670" t="s">
        <v>68</v>
      </c>
    </row>
    <row r="199" spans="1:18" ht="110.5" customHeight="1" x14ac:dyDescent="0.35">
      <c r="A199" s="671" t="s">
        <v>331</v>
      </c>
      <c r="B199" s="671" t="s">
        <v>365</v>
      </c>
      <c r="C199" s="672" t="s">
        <v>333</v>
      </c>
      <c r="D199" s="672" t="s">
        <v>334</v>
      </c>
      <c r="E199" s="672" t="s">
        <v>1696</v>
      </c>
      <c r="F199" s="672" t="s">
        <v>1697</v>
      </c>
      <c r="G199" s="672" t="s">
        <v>1698</v>
      </c>
      <c r="H199" s="673" t="s">
        <v>1696</v>
      </c>
      <c r="I199" s="674" t="s">
        <v>1696</v>
      </c>
    </row>
    <row r="200" spans="1:18" x14ac:dyDescent="0.35">
      <c r="A200" s="675"/>
      <c r="B200" s="694"/>
      <c r="C200" s="677">
        <f>B200/1000</f>
        <v>0</v>
      </c>
      <c r="D200" s="677">
        <f>'Emission Factors'!$B$61*C200</f>
        <v>0</v>
      </c>
      <c r="E200" s="677">
        <f>D200*'Emission Factors'!$C$61*0.001</f>
        <v>0</v>
      </c>
      <c r="F200" s="677">
        <f>D200*'Emission Factors'!$D$61*0.001</f>
        <v>0</v>
      </c>
      <c r="G200" s="677">
        <f>D200*'Emission Factors'!$E$61*0.001</f>
        <v>0</v>
      </c>
      <c r="H200" s="678">
        <f t="shared" ref="H200:H209" si="17">E200+F200+G200</f>
        <v>0</v>
      </c>
      <c r="I200" s="679">
        <f>D200*'Emission Factors'!$G$61*0.001</f>
        <v>0</v>
      </c>
    </row>
    <row r="201" spans="1:18" x14ac:dyDescent="0.35">
      <c r="A201" s="675"/>
      <c r="B201" s="694"/>
      <c r="C201" s="677">
        <f t="shared" ref="C201:C208" si="18">B201/1000</f>
        <v>0</v>
      </c>
      <c r="D201" s="677">
        <f>'Emission Factors'!$B$61*C201</f>
        <v>0</v>
      </c>
      <c r="E201" s="677">
        <f>D201*'Emission Factors'!$C$61*0.001</f>
        <v>0</v>
      </c>
      <c r="F201" s="677">
        <f>D201*'Emission Factors'!$D$61*0.001</f>
        <v>0</v>
      </c>
      <c r="G201" s="677">
        <f>D201*'Emission Factors'!$E$61*0.001</f>
        <v>0</v>
      </c>
      <c r="H201" s="678">
        <f t="shared" si="17"/>
        <v>0</v>
      </c>
      <c r="I201" s="679">
        <f>D201*'Emission Factors'!$G$61*0.001</f>
        <v>0</v>
      </c>
    </row>
    <row r="202" spans="1:18" x14ac:dyDescent="0.35">
      <c r="A202" s="675"/>
      <c r="B202" s="694"/>
      <c r="C202" s="677">
        <f t="shared" si="18"/>
        <v>0</v>
      </c>
      <c r="D202" s="677">
        <f>'Emission Factors'!$B$61*C202</f>
        <v>0</v>
      </c>
      <c r="E202" s="677">
        <f>D202*'Emission Factors'!$C$61*0.001</f>
        <v>0</v>
      </c>
      <c r="F202" s="677">
        <f>D202*'Emission Factors'!$D$61*0.001</f>
        <v>0</v>
      </c>
      <c r="G202" s="677">
        <f>D202*'Emission Factors'!$E$61*0.001</f>
        <v>0</v>
      </c>
      <c r="H202" s="678">
        <f t="shared" si="17"/>
        <v>0</v>
      </c>
      <c r="I202" s="679">
        <f>D202*'Emission Factors'!$G$61*0.001</f>
        <v>0</v>
      </c>
    </row>
    <row r="203" spans="1:18" x14ac:dyDescent="0.35">
      <c r="A203" s="675"/>
      <c r="B203" s="694"/>
      <c r="C203" s="677">
        <f t="shared" si="18"/>
        <v>0</v>
      </c>
      <c r="D203" s="677">
        <f>'Emission Factors'!$B$61*C203</f>
        <v>0</v>
      </c>
      <c r="E203" s="677">
        <f>D203*'Emission Factors'!$C$61*0.001</f>
        <v>0</v>
      </c>
      <c r="F203" s="677">
        <f>D203*'Emission Factors'!$D$61*0.001</f>
        <v>0</v>
      </c>
      <c r="G203" s="677">
        <f>D203*'Emission Factors'!$E$61*0.001</f>
        <v>0</v>
      </c>
      <c r="H203" s="678">
        <f t="shared" si="17"/>
        <v>0</v>
      </c>
      <c r="I203" s="679">
        <f>D203*'Emission Factors'!$G$61*0.001</f>
        <v>0</v>
      </c>
    </row>
    <row r="204" spans="1:18" x14ac:dyDescent="0.35">
      <c r="A204" s="675"/>
      <c r="B204" s="694"/>
      <c r="C204" s="677">
        <f t="shared" si="18"/>
        <v>0</v>
      </c>
      <c r="D204" s="677">
        <f>'Emission Factors'!$B$61*C204</f>
        <v>0</v>
      </c>
      <c r="E204" s="677">
        <f>D204*'Emission Factors'!$C$61*0.001</f>
        <v>0</v>
      </c>
      <c r="F204" s="677">
        <f>D204*'Emission Factors'!$D$61*0.001</f>
        <v>0</v>
      </c>
      <c r="G204" s="677">
        <f>D204*'Emission Factors'!$E$61*0.001</f>
        <v>0</v>
      </c>
      <c r="H204" s="678">
        <f t="shared" si="17"/>
        <v>0</v>
      </c>
      <c r="I204" s="679">
        <f>D204*'Emission Factors'!$G$61*0.001</f>
        <v>0</v>
      </c>
    </row>
    <row r="205" spans="1:18" x14ac:dyDescent="0.35">
      <c r="A205" s="675"/>
      <c r="B205" s="694"/>
      <c r="C205" s="677">
        <f t="shared" si="18"/>
        <v>0</v>
      </c>
      <c r="D205" s="677">
        <f>'Emission Factors'!$B$61*C205</f>
        <v>0</v>
      </c>
      <c r="E205" s="677">
        <f>D205*'Emission Factors'!$C$61*0.001</f>
        <v>0</v>
      </c>
      <c r="F205" s="677">
        <f>D205*'Emission Factors'!$D$61*0.001</f>
        <v>0</v>
      </c>
      <c r="G205" s="677">
        <f>D205*'Emission Factors'!$E$61*0.001</f>
        <v>0</v>
      </c>
      <c r="H205" s="678">
        <f t="shared" si="17"/>
        <v>0</v>
      </c>
      <c r="I205" s="679">
        <f>D205*'Emission Factors'!$G$61*0.001</f>
        <v>0</v>
      </c>
    </row>
    <row r="206" spans="1:18" x14ac:dyDescent="0.35">
      <c r="A206" s="675"/>
      <c r="B206" s="694"/>
      <c r="C206" s="677">
        <f t="shared" si="18"/>
        <v>0</v>
      </c>
      <c r="D206" s="677">
        <f>'Emission Factors'!$B$61*C206</f>
        <v>0</v>
      </c>
      <c r="E206" s="677">
        <f>D206*'Emission Factors'!$C$61*0.001</f>
        <v>0</v>
      </c>
      <c r="F206" s="677">
        <f>D206*'Emission Factors'!$D$61*0.001</f>
        <v>0</v>
      </c>
      <c r="G206" s="677">
        <f>D206*'Emission Factors'!$E$61*0.001</f>
        <v>0</v>
      </c>
      <c r="H206" s="678">
        <f t="shared" si="17"/>
        <v>0</v>
      </c>
      <c r="I206" s="679">
        <f>D206*'Emission Factors'!$G$61*0.001</f>
        <v>0</v>
      </c>
    </row>
    <row r="207" spans="1:18" x14ac:dyDescent="0.35">
      <c r="A207" s="675"/>
      <c r="B207" s="694"/>
      <c r="C207" s="677">
        <f t="shared" si="18"/>
        <v>0</v>
      </c>
      <c r="D207" s="677">
        <f>'Emission Factors'!$B$61*C207</f>
        <v>0</v>
      </c>
      <c r="E207" s="677">
        <f>D207*'Emission Factors'!$C$61*0.001</f>
        <v>0</v>
      </c>
      <c r="F207" s="677">
        <f>D207*'Emission Factors'!$D$61*0.001</f>
        <v>0</v>
      </c>
      <c r="G207" s="677">
        <f>D207*'Emission Factors'!$E$61*0.001</f>
        <v>0</v>
      </c>
      <c r="H207" s="678">
        <f t="shared" si="17"/>
        <v>0</v>
      </c>
      <c r="I207" s="679">
        <f>D207*'Emission Factors'!$G$61*0.001</f>
        <v>0</v>
      </c>
    </row>
    <row r="208" spans="1:18" x14ac:dyDescent="0.35">
      <c r="A208" s="675"/>
      <c r="B208" s="694"/>
      <c r="C208" s="677">
        <f t="shared" si="18"/>
        <v>0</v>
      </c>
      <c r="D208" s="677">
        <f>'Emission Factors'!$B$61*C208</f>
        <v>0</v>
      </c>
      <c r="E208" s="677">
        <f>D208*'Emission Factors'!$C$61*0.001</f>
        <v>0</v>
      </c>
      <c r="F208" s="677">
        <f>D208*'Emission Factors'!$D$61*0.001</f>
        <v>0</v>
      </c>
      <c r="G208" s="677">
        <f>D208*'Emission Factors'!$E$61*0.001</f>
        <v>0</v>
      </c>
      <c r="H208" s="678">
        <f t="shared" si="17"/>
        <v>0</v>
      </c>
      <c r="I208" s="679">
        <f>D208*'Emission Factors'!$G$61*0.001</f>
        <v>0</v>
      </c>
    </row>
    <row r="209" spans="1:16" ht="16" thickBot="1" x14ac:dyDescent="0.4">
      <c r="A209" s="675"/>
      <c r="B209" s="694"/>
      <c r="C209" s="677">
        <f>B209/1000</f>
        <v>0</v>
      </c>
      <c r="D209" s="677">
        <f>'Emission Factors'!$B$61*C209</f>
        <v>0</v>
      </c>
      <c r="E209" s="677">
        <f>D209*'Emission Factors'!$C$61*0.001</f>
        <v>0</v>
      </c>
      <c r="F209" s="677">
        <f>D209*'Emission Factors'!$D$61*0.001</f>
        <v>0</v>
      </c>
      <c r="G209" s="677">
        <f>D209*'Emission Factors'!$E$61*0.001</f>
        <v>0</v>
      </c>
      <c r="H209" s="695">
        <f t="shared" si="17"/>
        <v>0</v>
      </c>
      <c r="I209" s="679">
        <f>D209*'Emission Factors'!$G$61*0.001</f>
        <v>0</v>
      </c>
    </row>
    <row r="210" spans="1:16" s="667" customFormat="1" ht="24" thickBot="1" x14ac:dyDescent="0.6">
      <c r="A210" s="682" t="s">
        <v>335</v>
      </c>
      <c r="G210" s="684" t="s">
        <v>1699</v>
      </c>
      <c r="H210" s="685">
        <f>SUM(H200:H209)</f>
        <v>0</v>
      </c>
      <c r="I210" s="686">
        <f>SUM(I200:I209)</f>
        <v>0</v>
      </c>
    </row>
    <row r="211" spans="1:16" s="667" customFormat="1" ht="24" customHeight="1" thickBot="1" x14ac:dyDescent="0.6">
      <c r="A211" s="1474" t="s">
        <v>366</v>
      </c>
      <c r="B211" s="1475"/>
      <c r="C211" s="1476"/>
      <c r="D211" s="1477" t="s">
        <v>330</v>
      </c>
      <c r="E211" s="1478"/>
      <c r="F211" s="683"/>
      <c r="G211" s="666"/>
      <c r="H211" s="666"/>
      <c r="I211" s="666"/>
      <c r="J211" s="666"/>
      <c r="K211" s="666"/>
      <c r="L211" s="666"/>
      <c r="M211" s="666"/>
      <c r="N211" s="690"/>
      <c r="P211" s="691"/>
    </row>
    <row r="212" spans="1:16" ht="18.5" x14ac:dyDescent="0.45">
      <c r="E212" s="668"/>
      <c r="F212" s="668"/>
      <c r="G212" s="668"/>
      <c r="H212" s="669" t="s">
        <v>39</v>
      </c>
      <c r="I212" s="670" t="s">
        <v>68</v>
      </c>
    </row>
    <row r="213" spans="1:16" ht="110.5" customHeight="1" x14ac:dyDescent="0.35">
      <c r="A213" s="671" t="s">
        <v>331</v>
      </c>
      <c r="B213" s="671" t="s">
        <v>367</v>
      </c>
      <c r="C213" s="672" t="s">
        <v>333</v>
      </c>
      <c r="D213" s="672" t="s">
        <v>334</v>
      </c>
      <c r="E213" s="672" t="s">
        <v>1696</v>
      </c>
      <c r="F213" s="672" t="s">
        <v>1697</v>
      </c>
      <c r="G213" s="672" t="s">
        <v>1698</v>
      </c>
      <c r="H213" s="673" t="s">
        <v>1696</v>
      </c>
      <c r="I213" s="674" t="s">
        <v>1696</v>
      </c>
    </row>
    <row r="214" spans="1:16" x14ac:dyDescent="0.35">
      <c r="A214" s="675"/>
      <c r="B214" s="694"/>
      <c r="C214" s="677">
        <f>B214/1000</f>
        <v>0</v>
      </c>
      <c r="D214" s="677">
        <f>'Emission Factors'!$B$63*C214</f>
        <v>0</v>
      </c>
      <c r="E214" s="677">
        <f>D214*'Emission Factors'!$C$63*0.001</f>
        <v>0</v>
      </c>
      <c r="F214" s="677">
        <f>E214*'Emission Factors'!$D$63*0.001</f>
        <v>0</v>
      </c>
      <c r="G214" s="677">
        <f>F214*'Emission Factors'!$E$63*0.001</f>
        <v>0</v>
      </c>
      <c r="H214" s="678">
        <f t="shared" ref="H214:H223" si="19">E214+F214+G214</f>
        <v>0</v>
      </c>
      <c r="I214" s="679">
        <f>D214*'Emission Factors'!$G$63*0.001</f>
        <v>0</v>
      </c>
    </row>
    <row r="215" spans="1:16" x14ac:dyDescent="0.35">
      <c r="A215" s="675"/>
      <c r="B215" s="694"/>
      <c r="C215" s="677">
        <f t="shared" ref="C215:C222" si="20">B215/1000</f>
        <v>0</v>
      </c>
      <c r="D215" s="677">
        <f>'Emission Factors'!$B$63*C215</f>
        <v>0</v>
      </c>
      <c r="E215" s="677">
        <f>D215*'Emission Factors'!$C$63*0.001</f>
        <v>0</v>
      </c>
      <c r="F215" s="677">
        <f>E215*'Emission Factors'!$D$63*0.001</f>
        <v>0</v>
      </c>
      <c r="G215" s="677">
        <f>F215*'Emission Factors'!$E$63*0.001</f>
        <v>0</v>
      </c>
      <c r="H215" s="678">
        <f t="shared" si="19"/>
        <v>0</v>
      </c>
      <c r="I215" s="679">
        <f>D215*'Emission Factors'!$G$63*0.001</f>
        <v>0</v>
      </c>
    </row>
    <row r="216" spans="1:16" x14ac:dyDescent="0.35">
      <c r="A216" s="675"/>
      <c r="B216" s="694"/>
      <c r="C216" s="677">
        <f t="shared" si="20"/>
        <v>0</v>
      </c>
      <c r="D216" s="677">
        <f>'Emission Factors'!$B$63*C216</f>
        <v>0</v>
      </c>
      <c r="E216" s="677">
        <f>D216*'Emission Factors'!$C$63*0.001</f>
        <v>0</v>
      </c>
      <c r="F216" s="677">
        <f>E216*'Emission Factors'!$D$63*0.001</f>
        <v>0</v>
      </c>
      <c r="G216" s="677">
        <f>F216*'Emission Factors'!$E$63*0.001</f>
        <v>0</v>
      </c>
      <c r="H216" s="678">
        <f t="shared" si="19"/>
        <v>0</v>
      </c>
      <c r="I216" s="679">
        <f>D216*'Emission Factors'!$G$63*0.001</f>
        <v>0</v>
      </c>
    </row>
    <row r="217" spans="1:16" x14ac:dyDescent="0.35">
      <c r="A217" s="675"/>
      <c r="B217" s="694"/>
      <c r="C217" s="677">
        <f t="shared" si="20"/>
        <v>0</v>
      </c>
      <c r="D217" s="677">
        <f>'Emission Factors'!$B$63*C217</f>
        <v>0</v>
      </c>
      <c r="E217" s="677">
        <f>D217*'Emission Factors'!$C$63*0.001</f>
        <v>0</v>
      </c>
      <c r="F217" s="677">
        <f>E217*'Emission Factors'!$D$63*0.001</f>
        <v>0</v>
      </c>
      <c r="G217" s="677">
        <f>F217*'Emission Factors'!$E$63*0.001</f>
        <v>0</v>
      </c>
      <c r="H217" s="678">
        <f t="shared" si="19"/>
        <v>0</v>
      </c>
      <c r="I217" s="679">
        <f>D217*'Emission Factors'!$G$63*0.001</f>
        <v>0</v>
      </c>
    </row>
    <row r="218" spans="1:16" x14ac:dyDescent="0.35">
      <c r="A218" s="675"/>
      <c r="B218" s="694"/>
      <c r="C218" s="677">
        <f t="shared" si="20"/>
        <v>0</v>
      </c>
      <c r="D218" s="677">
        <f>'Emission Factors'!$B$63*C218</f>
        <v>0</v>
      </c>
      <c r="E218" s="677">
        <f>D218*'Emission Factors'!$C$63*0.001</f>
        <v>0</v>
      </c>
      <c r="F218" s="677">
        <f>E218*'Emission Factors'!$D$63*0.001</f>
        <v>0</v>
      </c>
      <c r="G218" s="677">
        <f>F218*'Emission Factors'!$E$63*0.001</f>
        <v>0</v>
      </c>
      <c r="H218" s="678">
        <f t="shared" si="19"/>
        <v>0</v>
      </c>
      <c r="I218" s="679">
        <f>D218*'Emission Factors'!$G$63*0.001</f>
        <v>0</v>
      </c>
    </row>
    <row r="219" spans="1:16" x14ac:dyDescent="0.35">
      <c r="A219" s="675"/>
      <c r="B219" s="694"/>
      <c r="C219" s="677">
        <f t="shared" si="20"/>
        <v>0</v>
      </c>
      <c r="D219" s="677">
        <f>'Emission Factors'!$B$63*C219</f>
        <v>0</v>
      </c>
      <c r="E219" s="677">
        <f>D219*'Emission Factors'!$C$63*0.001</f>
        <v>0</v>
      </c>
      <c r="F219" s="677">
        <f>E219*'Emission Factors'!$D$63*0.001</f>
        <v>0</v>
      </c>
      <c r="G219" s="677">
        <f>F219*'Emission Factors'!$E$63*0.001</f>
        <v>0</v>
      </c>
      <c r="H219" s="678">
        <f t="shared" si="19"/>
        <v>0</v>
      </c>
      <c r="I219" s="679">
        <f>D219*'Emission Factors'!$G$63*0.001</f>
        <v>0</v>
      </c>
    </row>
    <row r="220" spans="1:16" x14ac:dyDescent="0.35">
      <c r="A220" s="675"/>
      <c r="B220" s="694"/>
      <c r="C220" s="677">
        <f t="shared" si="20"/>
        <v>0</v>
      </c>
      <c r="D220" s="677">
        <f>'Emission Factors'!$B$63*C220</f>
        <v>0</v>
      </c>
      <c r="E220" s="677">
        <f>D220*'Emission Factors'!$C$63*0.001</f>
        <v>0</v>
      </c>
      <c r="F220" s="677">
        <f>E220*'Emission Factors'!$D$63*0.001</f>
        <v>0</v>
      </c>
      <c r="G220" s="677">
        <f>F220*'Emission Factors'!$E$63*0.001</f>
        <v>0</v>
      </c>
      <c r="H220" s="678">
        <f t="shared" si="19"/>
        <v>0</v>
      </c>
      <c r="I220" s="679">
        <f>D220*'Emission Factors'!$G$63*0.001</f>
        <v>0</v>
      </c>
    </row>
    <row r="221" spans="1:16" x14ac:dyDescent="0.35">
      <c r="A221" s="675"/>
      <c r="B221" s="694"/>
      <c r="C221" s="677">
        <f t="shared" si="20"/>
        <v>0</v>
      </c>
      <c r="D221" s="677">
        <f>'Emission Factors'!$B$63*C221</f>
        <v>0</v>
      </c>
      <c r="E221" s="677">
        <f>D221*'Emission Factors'!$C$63*0.001</f>
        <v>0</v>
      </c>
      <c r="F221" s="677">
        <f>E221*'Emission Factors'!$D$63*0.001</f>
        <v>0</v>
      </c>
      <c r="G221" s="677">
        <f>F221*'Emission Factors'!$E$63*0.001</f>
        <v>0</v>
      </c>
      <c r="H221" s="678">
        <f t="shared" si="19"/>
        <v>0</v>
      </c>
      <c r="I221" s="679">
        <f>D221*'Emission Factors'!$G$63*0.001</f>
        <v>0</v>
      </c>
    </row>
    <row r="222" spans="1:16" x14ac:dyDescent="0.35">
      <c r="A222" s="675"/>
      <c r="B222" s="694"/>
      <c r="C222" s="677">
        <f t="shared" si="20"/>
        <v>0</v>
      </c>
      <c r="D222" s="677">
        <f>'Emission Factors'!$B$63*C222</f>
        <v>0</v>
      </c>
      <c r="E222" s="677">
        <f>D222*'Emission Factors'!$C$63*0.001</f>
        <v>0</v>
      </c>
      <c r="F222" s="677">
        <f>E222*'Emission Factors'!$D$63*0.001</f>
        <v>0</v>
      </c>
      <c r="G222" s="677">
        <f>F222*'Emission Factors'!$E$63*0.001</f>
        <v>0</v>
      </c>
      <c r="H222" s="678">
        <f t="shared" si="19"/>
        <v>0</v>
      </c>
      <c r="I222" s="679">
        <f>D222*'Emission Factors'!$G$63*0.001</f>
        <v>0</v>
      </c>
    </row>
    <row r="223" spans="1:16" ht="16" thickBot="1" x14ac:dyDescent="0.4">
      <c r="A223" s="675"/>
      <c r="B223" s="694"/>
      <c r="C223" s="677">
        <f>B223/1000</f>
        <v>0</v>
      </c>
      <c r="D223" s="677">
        <f>'Emission Factors'!$B$63*C223</f>
        <v>0</v>
      </c>
      <c r="E223" s="677">
        <f>D223*'Emission Factors'!$C$63*0.001</f>
        <v>0</v>
      </c>
      <c r="F223" s="677">
        <f>E223*'Emission Factors'!$D$63*0.001</f>
        <v>0</v>
      </c>
      <c r="G223" s="677">
        <f>F223*'Emission Factors'!$E$63*0.001</f>
        <v>0</v>
      </c>
      <c r="H223" s="695">
        <f t="shared" si="19"/>
        <v>0</v>
      </c>
      <c r="I223" s="679">
        <f>D223*'Emission Factors'!$G$63*0.001</f>
        <v>0</v>
      </c>
    </row>
    <row r="224" spans="1:16" ht="16" thickBot="1" x14ac:dyDescent="0.4">
      <c r="G224" s="684" t="s">
        <v>1699</v>
      </c>
      <c r="H224" s="685">
        <f>SUM(H214:H223)</f>
        <v>0</v>
      </c>
      <c r="I224" s="686">
        <f>SUM(I214:I223)</f>
        <v>0</v>
      </c>
    </row>
    <row r="226" spans="1:5" ht="24" thickBot="1" x14ac:dyDescent="0.4">
      <c r="A226" s="1474" t="s">
        <v>368</v>
      </c>
      <c r="B226" s="1475"/>
      <c r="C226" s="1476"/>
      <c r="D226" s="1482" t="s">
        <v>330</v>
      </c>
      <c r="E226" s="1483"/>
    </row>
    <row r="227" spans="1:5" ht="18.5" x14ac:dyDescent="0.35">
      <c r="A227" s="689"/>
      <c r="B227" s="689"/>
      <c r="C227" s="689"/>
      <c r="D227" s="701" t="s">
        <v>39</v>
      </c>
      <c r="E227" s="702" t="s">
        <v>68</v>
      </c>
    </row>
    <row r="228" spans="1:5" ht="55.5" x14ac:dyDescent="0.35">
      <c r="A228" s="671" t="s">
        <v>369</v>
      </c>
      <c r="B228" s="671" t="s">
        <v>370</v>
      </c>
      <c r="C228" s="703" t="s">
        <v>371</v>
      </c>
      <c r="D228" s="704" t="s">
        <v>372</v>
      </c>
      <c r="E228" s="705" t="s">
        <v>373</v>
      </c>
    </row>
    <row r="229" spans="1:5" x14ac:dyDescent="0.35">
      <c r="A229" s="631" t="s">
        <v>374</v>
      </c>
      <c r="B229" s="706"/>
      <c r="C229" s="707">
        <v>480.185</v>
      </c>
      <c r="D229" s="708">
        <f>B229*C229*0.001</f>
        <v>0</v>
      </c>
      <c r="E229" s="679">
        <f>SUM(B230*'Emission Factors'!$K$55)*0.001</f>
        <v>0</v>
      </c>
    </row>
    <row r="230" spans="1:5" x14ac:dyDescent="0.35">
      <c r="A230" s="631" t="s">
        <v>375</v>
      </c>
      <c r="B230" s="706"/>
      <c r="C230" s="707">
        <v>496.51799999999997</v>
      </c>
      <c r="D230" s="708">
        <f t="shared" ref="D230:D238" si="21">B230*C230*0.001</f>
        <v>0</v>
      </c>
      <c r="E230" s="679">
        <f>SUM(B231*'Emission Factors'!$K$55)*0.001</f>
        <v>0</v>
      </c>
    </row>
    <row r="231" spans="1:5" x14ac:dyDescent="0.35">
      <c r="A231" s="631" t="s">
        <v>376</v>
      </c>
      <c r="B231" s="706"/>
      <c r="C231" s="707">
        <v>191.01599999999999</v>
      </c>
      <c r="D231" s="708">
        <f t="shared" si="21"/>
        <v>0</v>
      </c>
      <c r="E231" s="679">
        <f>SUM(B232*'Emission Factors'!$K$55)*0.001</f>
        <v>0</v>
      </c>
    </row>
    <row r="232" spans="1:5" x14ac:dyDescent="0.35">
      <c r="A232" s="631" t="s">
        <v>377</v>
      </c>
      <c r="B232" s="706"/>
      <c r="C232" s="707">
        <v>130.69499999999999</v>
      </c>
      <c r="D232" s="708">
        <f t="shared" si="21"/>
        <v>0</v>
      </c>
      <c r="E232" s="679">
        <f>SUM(B233*'Emission Factors'!$K$55)*0.001</f>
        <v>0</v>
      </c>
    </row>
    <row r="233" spans="1:5" x14ac:dyDescent="0.35">
      <c r="A233" s="631" t="s">
        <v>378</v>
      </c>
      <c r="B233" s="706"/>
      <c r="C233" s="707">
        <v>329.923</v>
      </c>
      <c r="D233" s="708">
        <f t="shared" si="21"/>
        <v>0</v>
      </c>
      <c r="E233" s="679">
        <f>SUM(B234*'Emission Factors'!$K$55)*0.001</f>
        <v>0</v>
      </c>
    </row>
    <row r="234" spans="1:5" x14ac:dyDescent="0.35">
      <c r="A234" s="675"/>
      <c r="B234" s="706"/>
      <c r="C234" s="706"/>
      <c r="D234" s="708">
        <f>B234*C234*0.001</f>
        <v>0</v>
      </c>
      <c r="E234" s="679">
        <f>SUM(B235*'Emission Factors'!$K$55)*0.001</f>
        <v>0</v>
      </c>
    </row>
    <row r="235" spans="1:5" x14ac:dyDescent="0.35">
      <c r="A235" s="675"/>
      <c r="B235" s="706"/>
      <c r="C235" s="706"/>
      <c r="D235" s="708">
        <f t="shared" si="21"/>
        <v>0</v>
      </c>
      <c r="E235" s="679">
        <f>SUM(B236*'Emission Factors'!$K$55)*0.001</f>
        <v>0</v>
      </c>
    </row>
    <row r="236" spans="1:5" x14ac:dyDescent="0.35">
      <c r="A236" s="675"/>
      <c r="B236" s="706"/>
      <c r="C236" s="706"/>
      <c r="D236" s="708">
        <f t="shared" si="21"/>
        <v>0</v>
      </c>
      <c r="E236" s="679">
        <f>SUM(B237*'Emission Factors'!$K$55)*0.001</f>
        <v>0</v>
      </c>
    </row>
    <row r="237" spans="1:5" x14ac:dyDescent="0.35">
      <c r="A237" s="675"/>
      <c r="B237" s="706"/>
      <c r="C237" s="706"/>
      <c r="D237" s="708">
        <f t="shared" si="21"/>
        <v>0</v>
      </c>
      <c r="E237" s="679">
        <f>SUM(B238*'Emission Factors'!$K$55)*0.001</f>
        <v>0</v>
      </c>
    </row>
    <row r="238" spans="1:5" ht="16" thickBot="1" x14ac:dyDescent="0.4">
      <c r="A238" s="675"/>
      <c r="B238" s="706"/>
      <c r="C238" s="709"/>
      <c r="D238" s="710">
        <f t="shared" si="21"/>
        <v>0</v>
      </c>
      <c r="E238" s="681">
        <f>SUM(B239*'Emission Factors'!$K$55)*0.001</f>
        <v>0</v>
      </c>
    </row>
    <row r="239" spans="1:5" s="689" customFormat="1" ht="16" thickBot="1" x14ac:dyDescent="0.4">
      <c r="C239" s="684" t="s">
        <v>1699</v>
      </c>
      <c r="D239" s="685">
        <f>SUM(D229:D238)</f>
        <v>0</v>
      </c>
      <c r="E239" s="711">
        <f>SUM(E229:E238)</f>
        <v>0</v>
      </c>
    </row>
    <row r="240" spans="1:5" ht="18.5" x14ac:dyDescent="0.45">
      <c r="A240" s="712" t="s">
        <v>379</v>
      </c>
    </row>
    <row r="241" spans="1:1" ht="18.5" x14ac:dyDescent="0.45">
      <c r="A241" s="712" t="s">
        <v>1719</v>
      </c>
    </row>
    <row r="242" spans="1:1" ht="18.5" x14ac:dyDescent="0.45">
      <c r="A242" s="712" t="s">
        <v>380</v>
      </c>
    </row>
  </sheetData>
  <sheetProtection algorithmName="SHA-512" hashValue="zUoP5LYA2WyW1B3LfxYieZ1lspu5QLWKo/I1asNvTdZWvq1ifU7OmtHNuvVzT9SpA4BaCCW6cD8hNt2Lmy/Zzw==" saltValue="0Yx8CNQ94nqFTYcD6hvKEw==" spinCount="100000" sheet="1"/>
  <mergeCells count="39">
    <mergeCell ref="A29:C29"/>
    <mergeCell ref="A226:C226"/>
    <mergeCell ref="D226:E226"/>
    <mergeCell ref="B1:F1"/>
    <mergeCell ref="H1:M1"/>
    <mergeCell ref="A14:C14"/>
    <mergeCell ref="D14:E14"/>
    <mergeCell ref="A13:R13"/>
    <mergeCell ref="D181:E181"/>
    <mergeCell ref="A91:C91"/>
    <mergeCell ref="A136:C136"/>
    <mergeCell ref="A150:C150"/>
    <mergeCell ref="D150:E150"/>
    <mergeCell ref="A181:C181"/>
    <mergeCell ref="A166:C166"/>
    <mergeCell ref="D166:E166"/>
    <mergeCell ref="A135:R135"/>
    <mergeCell ref="A60:C60"/>
    <mergeCell ref="D60:E60"/>
    <mergeCell ref="A105:C105"/>
    <mergeCell ref="D105:E105"/>
    <mergeCell ref="A121:C121"/>
    <mergeCell ref="D121:E121"/>
    <mergeCell ref="A45:C45"/>
    <mergeCell ref="D45:E45"/>
    <mergeCell ref="D91:E91"/>
    <mergeCell ref="A30:C30"/>
    <mergeCell ref="D30:E30"/>
    <mergeCell ref="A76:C76"/>
    <mergeCell ref="D76:E76"/>
    <mergeCell ref="A75:R75"/>
    <mergeCell ref="A90:C90"/>
    <mergeCell ref="A165:R165"/>
    <mergeCell ref="D136:E136"/>
    <mergeCell ref="A211:C211"/>
    <mergeCell ref="D211:E211"/>
    <mergeCell ref="A197:C197"/>
    <mergeCell ref="D197:E197"/>
    <mergeCell ref="A196:R196"/>
  </mergeCells>
  <hyperlinks>
    <hyperlink ref="B179" r:id="rId1" xr:uid="{8FD38EC4-82C5-4267-B1EB-4FE14585EFAD}"/>
  </hyperlinks>
  <pageMargins left="0.7" right="0.7" top="0.75" bottom="0.75" header="0.3" footer="0.3"/>
  <pageSetup orientation="portrait" horizontalDpi="4294967293" verticalDpi="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00"/>
  </sheetPr>
  <dimension ref="A1:S106"/>
  <sheetViews>
    <sheetView zoomScale="60" zoomScaleNormal="60" workbookViewId="0">
      <selection activeCell="H15" sqref="H15"/>
    </sheetView>
  </sheetViews>
  <sheetFormatPr baseColWidth="10" defaultColWidth="8.81640625" defaultRowHeight="15.5" x14ac:dyDescent="0.35"/>
  <cols>
    <col min="1" max="1" width="34" style="731" customWidth="1"/>
    <col min="2" max="2" width="28.81640625" style="731" bestFit="1" customWidth="1"/>
    <col min="3" max="3" width="18.453125" style="731" customWidth="1"/>
    <col min="4" max="4" width="23.7265625" style="731" bestFit="1" customWidth="1"/>
    <col min="5" max="5" width="21.26953125" style="731" customWidth="1"/>
    <col min="6" max="6" width="19.81640625" style="719" customWidth="1"/>
    <col min="7" max="7" width="24.453125" style="719" bestFit="1" customWidth="1"/>
    <col min="8" max="10" width="15.7265625" style="731" customWidth="1"/>
    <col min="11" max="11" width="15.7265625" style="617" customWidth="1"/>
    <col min="12" max="19" width="8.81640625" style="617"/>
    <col min="20" max="20" width="12.7265625" style="617" customWidth="1"/>
    <col min="21" max="21" width="8.81640625" style="617"/>
    <col min="22" max="22" width="26.81640625" style="617" customWidth="1"/>
    <col min="23" max="23" width="11.1796875" style="617" bestFit="1" customWidth="1"/>
    <col min="24" max="16384" width="8.81640625" style="617"/>
  </cols>
  <sheetData>
    <row r="1" spans="1:19" ht="57.75" customHeight="1" x14ac:dyDescent="0.35">
      <c r="A1" s="730" t="s">
        <v>405</v>
      </c>
      <c r="B1" s="1491" t="s">
        <v>1837</v>
      </c>
      <c r="C1" s="1492"/>
      <c r="D1" s="1492"/>
      <c r="E1" s="1493"/>
      <c r="F1" s="1471" t="s">
        <v>318</v>
      </c>
      <c r="G1" s="1472"/>
      <c r="H1" s="1472"/>
      <c r="I1" s="1472"/>
      <c r="J1" s="1472"/>
      <c r="K1" s="1473"/>
    </row>
    <row r="2" spans="1:19" x14ac:dyDescent="0.35">
      <c r="F2" s="657" t="s">
        <v>319</v>
      </c>
      <c r="G2" s="658"/>
      <c r="H2" s="659" t="s">
        <v>320</v>
      </c>
      <c r="I2" s="660"/>
      <c r="J2" s="659" t="s">
        <v>321</v>
      </c>
      <c r="K2" s="661"/>
    </row>
    <row r="4" spans="1:19" ht="18.5" x14ac:dyDescent="0.35">
      <c r="A4" s="1489" t="s">
        <v>406</v>
      </c>
      <c r="B4" s="1490"/>
      <c r="C4" s="635"/>
      <c r="H4" s="617"/>
      <c r="I4" s="617"/>
      <c r="J4" s="617"/>
    </row>
    <row r="5" spans="1:19" ht="37" x14ac:dyDescent="0.35">
      <c r="A5" s="730" t="s">
        <v>407</v>
      </c>
      <c r="B5" s="688">
        <f>SUM(B25,C46)</f>
        <v>0</v>
      </c>
      <c r="C5" s="632"/>
    </row>
    <row r="6" spans="1:19" ht="37" x14ac:dyDescent="0.35">
      <c r="A6" s="730" t="s">
        <v>408</v>
      </c>
      <c r="B6" s="688">
        <f>E18</f>
        <v>0</v>
      </c>
      <c r="C6" s="632"/>
      <c r="H6" s="635"/>
      <c r="I6" s="617"/>
      <c r="J6" s="617"/>
    </row>
    <row r="7" spans="1:19" ht="18.5" x14ac:dyDescent="0.35">
      <c r="A7" s="730" t="s">
        <v>327</v>
      </c>
      <c r="B7" s="677">
        <f>SUM(B5:B6)</f>
        <v>0</v>
      </c>
      <c r="C7" s="632"/>
      <c r="H7" s="617"/>
      <c r="I7" s="617"/>
      <c r="J7" s="617"/>
    </row>
    <row r="8" spans="1:19" x14ac:dyDescent="0.35">
      <c r="A8" s="597"/>
      <c r="B8" s="597"/>
      <c r="C8" s="632"/>
      <c r="I8" s="617"/>
      <c r="J8" s="617"/>
    </row>
    <row r="9" spans="1:19" ht="31" x14ac:dyDescent="0.7">
      <c r="A9" s="1498" t="s">
        <v>1833</v>
      </c>
      <c r="B9" s="1499"/>
      <c r="C9" s="1499"/>
      <c r="D9" s="1499"/>
      <c r="E9" s="1499"/>
      <c r="F9" s="1499"/>
      <c r="G9" s="1499"/>
      <c r="H9" s="1499"/>
      <c r="I9" s="1499"/>
      <c r="J9" s="1499"/>
      <c r="K9" s="1499"/>
      <c r="L9" s="1499"/>
      <c r="M9" s="1499"/>
      <c r="N9" s="1499"/>
      <c r="O9" s="1499"/>
      <c r="P9" s="1499"/>
      <c r="Q9" s="1499"/>
      <c r="R9" s="1499"/>
      <c r="S9" s="1499"/>
    </row>
    <row r="10" spans="1:19" ht="16" thickBot="1" x14ac:dyDescent="0.4">
      <c r="A10" s="597"/>
      <c r="B10" s="597"/>
      <c r="C10" s="632"/>
      <c r="I10" s="617"/>
      <c r="J10" s="617"/>
    </row>
    <row r="11" spans="1:19" ht="33.75" customHeight="1" x14ac:dyDescent="0.35">
      <c r="A11" s="1494" t="s">
        <v>330</v>
      </c>
      <c r="B11" s="1495"/>
      <c r="D11" s="1496" t="s">
        <v>60</v>
      </c>
      <c r="E11" s="1497"/>
      <c r="G11" s="731"/>
      <c r="H11" s="617"/>
      <c r="I11" s="617"/>
      <c r="J11" s="617"/>
    </row>
    <row r="12" spans="1:19" ht="55.5" customHeight="1" x14ac:dyDescent="0.35">
      <c r="A12" s="671" t="s">
        <v>331</v>
      </c>
      <c r="B12" s="671" t="s">
        <v>409</v>
      </c>
      <c r="C12" s="703" t="s">
        <v>410</v>
      </c>
      <c r="D12" s="704" t="s">
        <v>411</v>
      </c>
      <c r="E12" s="705" t="s">
        <v>412</v>
      </c>
      <c r="F12" s="617"/>
      <c r="G12" s="617"/>
      <c r="H12" s="617"/>
      <c r="I12" s="617"/>
      <c r="J12" s="617"/>
    </row>
    <row r="13" spans="1:19" ht="25" customHeight="1" x14ac:dyDescent="0.35">
      <c r="A13" s="675"/>
      <c r="B13" s="687"/>
      <c r="C13" s="732"/>
      <c r="D13" s="733">
        <f>((C13*0.01)+(B13*3))*(44/28)</f>
        <v>0</v>
      </c>
      <c r="E13" s="734">
        <f>SUM(D13*0.001)*'Emission Factors'!$C$7</f>
        <v>0</v>
      </c>
      <c r="F13" s="617"/>
      <c r="G13" s="617"/>
      <c r="H13" s="617"/>
      <c r="I13" s="617"/>
      <c r="J13" s="617"/>
    </row>
    <row r="14" spans="1:19" ht="25" customHeight="1" x14ac:dyDescent="0.35">
      <c r="A14" s="675"/>
      <c r="B14" s="687"/>
      <c r="C14" s="732"/>
      <c r="D14" s="733">
        <f t="shared" ref="D14:D17" si="0">((C14*0.01)+(B14*3))*(44/28)</f>
        <v>0</v>
      </c>
      <c r="E14" s="734">
        <f>SUM(D14*0.001)*'Emission Factors'!$C$7</f>
        <v>0</v>
      </c>
      <c r="F14" s="617"/>
      <c r="G14" s="617"/>
      <c r="H14" s="617"/>
      <c r="I14" s="617"/>
      <c r="J14" s="617"/>
    </row>
    <row r="15" spans="1:19" ht="25" customHeight="1" x14ac:dyDescent="0.35">
      <c r="A15" s="675"/>
      <c r="B15" s="687"/>
      <c r="C15" s="732"/>
      <c r="D15" s="733">
        <f t="shared" si="0"/>
        <v>0</v>
      </c>
      <c r="E15" s="734">
        <f>SUM(D15*0.001)*'Emission Factors'!$C$7</f>
        <v>0</v>
      </c>
      <c r="F15" s="617"/>
      <c r="G15" s="617"/>
      <c r="H15" s="617"/>
      <c r="I15" s="617"/>
      <c r="J15" s="617"/>
    </row>
    <row r="16" spans="1:19" ht="25" customHeight="1" x14ac:dyDescent="0.35">
      <c r="A16" s="675"/>
      <c r="B16" s="687"/>
      <c r="C16" s="732"/>
      <c r="D16" s="733">
        <f t="shared" si="0"/>
        <v>0</v>
      </c>
      <c r="E16" s="734">
        <f>SUM(D16*0.001)*'Emission Factors'!$C$7</f>
        <v>0</v>
      </c>
      <c r="F16" s="617"/>
      <c r="G16" s="617"/>
      <c r="H16" s="617"/>
      <c r="I16" s="617"/>
      <c r="J16" s="617"/>
    </row>
    <row r="17" spans="1:8" s="617" customFormat="1" ht="25" customHeight="1" thickBot="1" x14ac:dyDescent="0.4">
      <c r="A17" s="675"/>
      <c r="B17" s="687"/>
      <c r="C17" s="732"/>
      <c r="D17" s="735">
        <f t="shared" si="0"/>
        <v>0</v>
      </c>
      <c r="E17" s="736">
        <f>SUM(D17*0.001)*'Emission Factors'!$C$7</f>
        <v>0</v>
      </c>
    </row>
    <row r="18" spans="1:8" s="617" customFormat="1" ht="25" customHeight="1" thickBot="1" x14ac:dyDescent="0.4">
      <c r="A18" s="663" t="s">
        <v>413</v>
      </c>
      <c r="B18" s="737">
        <f>SUM(B13:B17)</f>
        <v>0</v>
      </c>
      <c r="C18" s="738">
        <f>SUM(C13:C17)</f>
        <v>0</v>
      </c>
      <c r="D18" s="684">
        <f>SUM(D13:D17)</f>
        <v>0</v>
      </c>
      <c r="E18" s="739">
        <f>SUM(E13:E17)</f>
        <v>0</v>
      </c>
    </row>
    <row r="19" spans="1:8" s="617" customFormat="1" ht="25" customHeight="1" x14ac:dyDescent="0.35">
      <c r="A19" s="731"/>
      <c r="B19" s="731"/>
      <c r="C19" s="731"/>
      <c r="D19" s="731"/>
      <c r="E19" s="731"/>
      <c r="F19" s="731"/>
    </row>
    <row r="20" spans="1:8" s="617" customFormat="1" ht="25" customHeight="1" x14ac:dyDescent="0.35">
      <c r="A20" s="731"/>
      <c r="B20" s="731"/>
      <c r="C20" s="731"/>
      <c r="D20" s="731"/>
      <c r="E20" s="731"/>
      <c r="F20" s="731"/>
      <c r="G20" s="731"/>
    </row>
    <row r="21" spans="1:8" s="617" customFormat="1" ht="25" customHeight="1" x14ac:dyDescent="0.35">
      <c r="A21" s="1489" t="s">
        <v>414</v>
      </c>
      <c r="B21" s="1490"/>
      <c r="C21" s="634"/>
      <c r="D21" s="634"/>
      <c r="E21" s="634"/>
      <c r="F21" s="634"/>
      <c r="G21" s="634"/>
    </row>
    <row r="22" spans="1:8" s="617" customFormat="1" ht="37" x14ac:dyDescent="0.35">
      <c r="A22" s="740"/>
      <c r="B22" s="671" t="s">
        <v>415</v>
      </c>
      <c r="C22" s="634"/>
      <c r="D22" s="634"/>
      <c r="E22" s="634"/>
      <c r="F22" s="634"/>
      <c r="G22" s="634"/>
    </row>
    <row r="23" spans="1:8" s="617" customFormat="1" ht="37" x14ac:dyDescent="0.35">
      <c r="A23" s="671" t="s">
        <v>416</v>
      </c>
      <c r="B23" s="663">
        <f>D34</f>
        <v>0</v>
      </c>
      <c r="C23" s="634"/>
      <c r="D23" s="634"/>
      <c r="E23" s="634"/>
      <c r="F23" s="634"/>
      <c r="G23" s="634"/>
    </row>
    <row r="24" spans="1:8" s="617" customFormat="1" ht="37" x14ac:dyDescent="0.35">
      <c r="A24" s="671" t="s">
        <v>417</v>
      </c>
      <c r="B24" s="663">
        <f>D38</f>
        <v>0</v>
      </c>
      <c r="C24" s="634"/>
      <c r="D24" s="634"/>
      <c r="E24" s="634"/>
      <c r="F24" s="634"/>
      <c r="G24" s="634"/>
    </row>
    <row r="25" spans="1:8" s="617" customFormat="1" ht="25" customHeight="1" x14ac:dyDescent="0.35">
      <c r="A25" s="730" t="s">
        <v>327</v>
      </c>
      <c r="B25" s="677">
        <f>SUM(B23:B24)</f>
        <v>0</v>
      </c>
      <c r="C25" s="634"/>
      <c r="D25" s="634"/>
      <c r="E25" s="634"/>
      <c r="F25" s="634"/>
      <c r="G25" s="634"/>
    </row>
    <row r="26" spans="1:8" s="617" customFormat="1" ht="25" customHeight="1" x14ac:dyDescent="0.35">
      <c r="A26" s="633"/>
      <c r="B26" s="634"/>
      <c r="C26" s="634"/>
      <c r="D26" s="634"/>
      <c r="E26" s="634"/>
      <c r="F26" s="634"/>
      <c r="G26" s="634"/>
    </row>
    <row r="27" spans="1:8" s="617" customFormat="1" ht="55.5" x14ac:dyDescent="0.35">
      <c r="A27" s="671" t="s">
        <v>418</v>
      </c>
      <c r="B27" s="671" t="s">
        <v>419</v>
      </c>
      <c r="C27" s="671" t="s">
        <v>420</v>
      </c>
      <c r="D27" s="671" t="s">
        <v>421</v>
      </c>
      <c r="E27" s="671" t="s">
        <v>422</v>
      </c>
      <c r="F27" s="671" t="s">
        <v>423</v>
      </c>
      <c r="G27" s="671" t="s">
        <v>424</v>
      </c>
      <c r="H27" s="671" t="s">
        <v>425</v>
      </c>
    </row>
    <row r="28" spans="1:8" s="617" customFormat="1" ht="25" customHeight="1" x14ac:dyDescent="0.35">
      <c r="A28" s="663">
        <f>C18</f>
        <v>0</v>
      </c>
      <c r="B28" s="741">
        <v>1</v>
      </c>
      <c r="C28" s="663">
        <f>A28*B28</f>
        <v>0</v>
      </c>
      <c r="D28" s="741">
        <v>0.1</v>
      </c>
      <c r="E28" s="663">
        <f>C28*D28</f>
        <v>0</v>
      </c>
      <c r="F28" s="663">
        <f>C28-E28</f>
        <v>0</v>
      </c>
      <c r="G28" s="741">
        <v>0.3</v>
      </c>
      <c r="H28" s="663">
        <f>C28*G28</f>
        <v>0</v>
      </c>
    </row>
    <row r="29" spans="1:8" s="617" customFormat="1" ht="25" customHeight="1" x14ac:dyDescent="0.35">
      <c r="A29" s="1500" t="s">
        <v>426</v>
      </c>
      <c r="B29" s="1501"/>
      <c r="C29" s="1501"/>
      <c r="D29" s="1501"/>
      <c r="E29" s="1501"/>
      <c r="F29" s="1501"/>
      <c r="G29" s="1502"/>
    </row>
    <row r="30" spans="1:8" s="617" customFormat="1" ht="46.5" customHeight="1" x14ac:dyDescent="0.35">
      <c r="A30" s="1503" t="s">
        <v>427</v>
      </c>
      <c r="B30" s="1504"/>
      <c r="C30" s="1504"/>
      <c r="D30" s="1504"/>
      <c r="E30" s="1504"/>
      <c r="F30" s="1504"/>
      <c r="G30" s="1505"/>
    </row>
    <row r="31" spans="1:8" s="617" customFormat="1" ht="25" customHeight="1" x14ac:dyDescent="0.35">
      <c r="A31" s="634"/>
      <c r="B31" s="634"/>
      <c r="C31" s="634"/>
      <c r="D31" s="634"/>
      <c r="E31" s="634"/>
      <c r="F31" s="634"/>
      <c r="G31" s="634"/>
    </row>
    <row r="32" spans="1:8" s="617" customFormat="1" ht="25" customHeight="1" x14ac:dyDescent="0.35">
      <c r="A32" s="1474" t="s">
        <v>428</v>
      </c>
      <c r="B32" s="1475"/>
      <c r="C32" s="1475"/>
      <c r="D32" s="1476"/>
    </row>
    <row r="33" spans="1:19" ht="55.5" x14ac:dyDescent="0.35">
      <c r="A33" s="671" t="s">
        <v>429</v>
      </c>
      <c r="B33" s="671" t="s">
        <v>431</v>
      </c>
      <c r="C33" s="671" t="s">
        <v>433</v>
      </c>
      <c r="D33" s="671" t="s">
        <v>372</v>
      </c>
      <c r="E33" s="617"/>
      <c r="F33" s="617"/>
      <c r="G33" s="617"/>
      <c r="H33" s="617"/>
      <c r="I33" s="617"/>
      <c r="J33" s="617"/>
    </row>
    <row r="34" spans="1:19" ht="25" customHeight="1" x14ac:dyDescent="0.35">
      <c r="A34" s="663">
        <f>E28</f>
        <v>0</v>
      </c>
      <c r="B34" s="663">
        <f>A34*'Emission Factors'!A100</f>
        <v>0</v>
      </c>
      <c r="C34" s="663">
        <f>B34*'Emission Factors'!B100</f>
        <v>0</v>
      </c>
      <c r="D34" s="623">
        <f>C34*'Emission Factors'!$C$7/1000</f>
        <v>0</v>
      </c>
      <c r="E34" s="617"/>
      <c r="F34" s="617"/>
      <c r="G34" s="617"/>
      <c r="H34" s="617"/>
      <c r="I34" s="617"/>
      <c r="J34" s="617"/>
    </row>
    <row r="35" spans="1:19" ht="25" customHeight="1" x14ac:dyDescent="0.35">
      <c r="A35" s="634"/>
      <c r="B35" s="634"/>
      <c r="C35" s="634"/>
      <c r="D35" s="635"/>
      <c r="E35" s="617"/>
      <c r="F35" s="617"/>
      <c r="G35" s="617"/>
      <c r="H35" s="617"/>
      <c r="I35" s="617"/>
      <c r="J35" s="617"/>
    </row>
    <row r="36" spans="1:19" ht="25" customHeight="1" x14ac:dyDescent="0.35">
      <c r="A36" s="1474" t="s">
        <v>434</v>
      </c>
      <c r="B36" s="1475"/>
      <c r="C36" s="1475"/>
      <c r="D36" s="1476"/>
      <c r="E36" s="617"/>
      <c r="F36" s="617"/>
      <c r="G36" s="617"/>
      <c r="H36" s="617"/>
      <c r="I36" s="617"/>
      <c r="J36" s="617"/>
    </row>
    <row r="37" spans="1:19" ht="55.5" x14ac:dyDescent="0.35">
      <c r="A37" s="671" t="s">
        <v>435</v>
      </c>
      <c r="B37" s="671" t="s">
        <v>431</v>
      </c>
      <c r="C37" s="671" t="s">
        <v>433</v>
      </c>
      <c r="D37" s="671" t="s">
        <v>372</v>
      </c>
      <c r="E37" s="617"/>
      <c r="F37" s="617"/>
      <c r="G37" s="617"/>
      <c r="H37" s="617"/>
      <c r="I37" s="617"/>
      <c r="J37" s="617"/>
    </row>
    <row r="38" spans="1:19" ht="25" customHeight="1" x14ac:dyDescent="0.35">
      <c r="A38" s="663">
        <f>H28</f>
        <v>0</v>
      </c>
      <c r="B38" s="663">
        <f>A38*'Emission Factors'!A103</f>
        <v>0</v>
      </c>
      <c r="C38" s="663">
        <f>B38*'Emission Factors'!B103</f>
        <v>0</v>
      </c>
      <c r="D38" s="623">
        <f>C38*'Emission Factors'!$C$7/1000</f>
        <v>0</v>
      </c>
      <c r="E38" s="617"/>
      <c r="F38" s="617"/>
      <c r="G38" s="617"/>
      <c r="H38" s="617"/>
      <c r="I38" s="617"/>
      <c r="J38" s="617"/>
    </row>
    <row r="39" spans="1:19" ht="25" customHeight="1" x14ac:dyDescent="0.35">
      <c r="A39" s="634"/>
      <c r="B39" s="634"/>
      <c r="C39" s="634"/>
      <c r="D39" s="634"/>
      <c r="E39" s="634"/>
      <c r="F39" s="634"/>
      <c r="G39" s="634"/>
      <c r="H39" s="617"/>
      <c r="I39" s="617"/>
      <c r="J39" s="617"/>
    </row>
    <row r="40" spans="1:19" ht="31" x14ac:dyDescent="0.7">
      <c r="A40" s="1498" t="s">
        <v>1834</v>
      </c>
      <c r="B40" s="1499"/>
      <c r="C40" s="1499"/>
      <c r="D40" s="1499"/>
      <c r="E40" s="1499"/>
      <c r="F40" s="1499"/>
      <c r="G40" s="1499"/>
      <c r="H40" s="1499"/>
      <c r="I40" s="1499"/>
      <c r="J40" s="1499"/>
      <c r="K40" s="1499"/>
      <c r="L40" s="1499"/>
      <c r="M40" s="1499"/>
      <c r="N40" s="1499"/>
      <c r="O40" s="1499"/>
      <c r="P40" s="1499"/>
      <c r="Q40" s="1499"/>
      <c r="R40" s="1499"/>
      <c r="S40" s="1499"/>
    </row>
    <row r="41" spans="1:19" ht="16" thickBot="1" x14ac:dyDescent="0.4">
      <c r="A41" s="617"/>
      <c r="B41" s="634"/>
      <c r="C41" s="634"/>
      <c r="D41" s="634"/>
      <c r="E41" s="634"/>
      <c r="F41" s="634"/>
      <c r="G41" s="634"/>
      <c r="H41" s="617"/>
      <c r="I41" s="617"/>
      <c r="J41" s="617"/>
    </row>
    <row r="42" spans="1:19" ht="31" x14ac:dyDescent="0.35">
      <c r="A42" s="628" t="s">
        <v>1834</v>
      </c>
      <c r="B42" s="628" t="s">
        <v>1835</v>
      </c>
      <c r="C42" s="742" t="s">
        <v>1825</v>
      </c>
      <c r="D42" s="634"/>
      <c r="E42" s="634"/>
      <c r="F42" s="634"/>
      <c r="G42" s="634"/>
      <c r="H42" s="617"/>
      <c r="I42" s="617"/>
      <c r="J42" s="617"/>
    </row>
    <row r="43" spans="1:19" x14ac:dyDescent="0.35">
      <c r="A43" s="636" t="s">
        <v>957</v>
      </c>
      <c r="B43" s="743"/>
      <c r="C43" s="744">
        <f>B43*'Emission Factors'!C107*0.001</f>
        <v>0</v>
      </c>
      <c r="F43" s="731"/>
      <c r="G43" s="731"/>
      <c r="H43" s="617"/>
      <c r="I43" s="617"/>
      <c r="J43" s="617"/>
    </row>
    <row r="44" spans="1:19" x14ac:dyDescent="0.35">
      <c r="A44" s="636" t="s">
        <v>960</v>
      </c>
      <c r="B44" s="743"/>
      <c r="C44" s="744">
        <f>B44*'Emission Factors'!C108*0.001</f>
        <v>0</v>
      </c>
      <c r="F44" s="731"/>
      <c r="G44" s="731"/>
      <c r="H44" s="617"/>
      <c r="I44" s="617"/>
      <c r="J44" s="617"/>
    </row>
    <row r="45" spans="1:19" ht="16" thickBot="1" x14ac:dyDescent="0.4">
      <c r="A45" s="636" t="s">
        <v>965</v>
      </c>
      <c r="B45" s="743"/>
      <c r="C45" s="744">
        <f>B45*'Emission Factors'!C109*0.001</f>
        <v>0</v>
      </c>
      <c r="F45" s="731"/>
      <c r="G45" s="731"/>
      <c r="H45" s="617"/>
      <c r="I45" s="617"/>
      <c r="J45" s="617"/>
    </row>
    <row r="46" spans="1:19" ht="16" thickBot="1" x14ac:dyDescent="0.4">
      <c r="B46" s="745" t="s">
        <v>327</v>
      </c>
      <c r="C46" s="746">
        <f>SUM(C43:C45)</f>
        <v>0</v>
      </c>
      <c r="F46" s="731"/>
      <c r="G46" s="731"/>
      <c r="H46" s="617"/>
      <c r="I46" s="617"/>
      <c r="J46" s="617"/>
    </row>
    <row r="47" spans="1:19" x14ac:dyDescent="0.35">
      <c r="F47" s="731"/>
      <c r="G47" s="731"/>
      <c r="I47" s="617"/>
      <c r="J47" s="617"/>
    </row>
    <row r="48" spans="1:19" x14ac:dyDescent="0.35">
      <c r="A48" s="617"/>
      <c r="B48" s="617"/>
      <c r="C48" s="617"/>
      <c r="D48" s="617"/>
      <c r="E48" s="617"/>
      <c r="F48" s="617"/>
      <c r="G48" s="617"/>
      <c r="H48" s="617"/>
      <c r="I48" s="617"/>
      <c r="J48" s="617"/>
    </row>
    <row r="49" spans="1:10" x14ac:dyDescent="0.35">
      <c r="A49" s="617"/>
      <c r="B49" s="617"/>
      <c r="C49" s="617"/>
      <c r="D49" s="617"/>
      <c r="E49" s="617"/>
      <c r="F49" s="617"/>
      <c r="G49" s="617"/>
      <c r="H49" s="617"/>
      <c r="I49" s="617"/>
      <c r="J49" s="617"/>
    </row>
    <row r="50" spans="1:10" x14ac:dyDescent="0.35">
      <c r="A50" s="617"/>
      <c r="B50" s="617"/>
      <c r="C50" s="617"/>
      <c r="D50" s="617"/>
      <c r="E50" s="617"/>
      <c r="F50" s="617"/>
      <c r="G50" s="617"/>
      <c r="H50" s="617"/>
      <c r="I50" s="617"/>
      <c r="J50" s="617"/>
    </row>
    <row r="51" spans="1:10" x14ac:dyDescent="0.35">
      <c r="A51" s="617"/>
      <c r="B51" s="617"/>
      <c r="C51" s="617"/>
      <c r="D51" s="617"/>
      <c r="E51" s="617"/>
      <c r="F51" s="617"/>
      <c r="G51" s="617"/>
      <c r="H51" s="617"/>
      <c r="I51" s="617"/>
      <c r="J51" s="617"/>
    </row>
    <row r="52" spans="1:10" x14ac:dyDescent="0.35">
      <c r="A52" s="617"/>
      <c r="B52" s="617"/>
      <c r="C52" s="617"/>
      <c r="D52" s="617"/>
      <c r="E52" s="617"/>
      <c r="F52" s="617"/>
      <c r="G52" s="617"/>
      <c r="H52" s="617"/>
      <c r="I52" s="617"/>
      <c r="J52" s="617"/>
    </row>
    <row r="53" spans="1:10" x14ac:dyDescent="0.35">
      <c r="A53" s="617"/>
      <c r="B53" s="617"/>
      <c r="C53" s="617"/>
      <c r="D53" s="617"/>
      <c r="E53" s="617"/>
      <c r="F53" s="617"/>
      <c r="G53" s="617"/>
      <c r="H53" s="617"/>
      <c r="I53" s="617"/>
      <c r="J53" s="617"/>
    </row>
    <row r="54" spans="1:10" x14ac:dyDescent="0.35">
      <c r="H54" s="617"/>
      <c r="I54" s="617"/>
      <c r="J54" s="617"/>
    </row>
    <row r="55" spans="1:10" x14ac:dyDescent="0.35">
      <c r="H55" s="634"/>
      <c r="I55" s="634"/>
      <c r="J55" s="634"/>
    </row>
    <row r="58" spans="1:10" x14ac:dyDescent="0.35">
      <c r="H58" s="634"/>
      <c r="I58" s="634"/>
      <c r="J58" s="634"/>
    </row>
    <row r="59" spans="1:10" x14ac:dyDescent="0.35">
      <c r="H59" s="634"/>
      <c r="I59" s="634"/>
      <c r="J59" s="634"/>
    </row>
    <row r="60" spans="1:10" x14ac:dyDescent="0.35">
      <c r="H60" s="634"/>
      <c r="I60" s="634"/>
      <c r="J60" s="634"/>
    </row>
    <row r="61" spans="1:10" x14ac:dyDescent="0.35">
      <c r="H61" s="634"/>
      <c r="I61" s="634"/>
      <c r="J61" s="634"/>
    </row>
    <row r="63" spans="1:10" x14ac:dyDescent="0.35">
      <c r="H63" s="634"/>
      <c r="I63" s="634"/>
      <c r="J63" s="634"/>
    </row>
    <row r="64" spans="1:10" x14ac:dyDescent="0.35">
      <c r="H64" s="634"/>
      <c r="I64" s="634"/>
      <c r="J64" s="634"/>
    </row>
    <row r="65" spans="8:10" x14ac:dyDescent="0.35">
      <c r="H65" s="634"/>
      <c r="I65" s="634"/>
      <c r="J65" s="634"/>
    </row>
    <row r="66" spans="8:10" x14ac:dyDescent="0.35">
      <c r="H66" s="634"/>
      <c r="I66" s="634"/>
      <c r="J66" s="634"/>
    </row>
    <row r="67" spans="8:10" x14ac:dyDescent="0.35">
      <c r="H67" s="634"/>
      <c r="I67" s="634"/>
      <c r="J67" s="634"/>
    </row>
    <row r="68" spans="8:10" x14ac:dyDescent="0.35">
      <c r="H68" s="634"/>
      <c r="I68" s="634"/>
      <c r="J68" s="634"/>
    </row>
    <row r="69" spans="8:10" x14ac:dyDescent="0.35">
      <c r="H69" s="634"/>
      <c r="I69" s="634"/>
      <c r="J69" s="634"/>
    </row>
    <row r="70" spans="8:10" x14ac:dyDescent="0.35">
      <c r="H70" s="634"/>
      <c r="I70" s="634"/>
      <c r="J70" s="634"/>
    </row>
    <row r="71" spans="8:10" x14ac:dyDescent="0.35">
      <c r="H71" s="634"/>
      <c r="I71" s="634"/>
      <c r="J71" s="634"/>
    </row>
    <row r="72" spans="8:10" x14ac:dyDescent="0.35">
      <c r="H72" s="634"/>
      <c r="I72" s="634"/>
      <c r="J72" s="634"/>
    </row>
    <row r="73" spans="8:10" x14ac:dyDescent="0.35">
      <c r="H73" s="617"/>
      <c r="I73" s="617"/>
      <c r="J73" s="617"/>
    </row>
    <row r="74" spans="8:10" x14ac:dyDescent="0.35">
      <c r="H74" s="634"/>
      <c r="I74" s="634"/>
      <c r="J74" s="634"/>
    </row>
    <row r="75" spans="8:10" x14ac:dyDescent="0.35">
      <c r="H75" s="617"/>
      <c r="I75" s="617"/>
      <c r="J75" s="617"/>
    </row>
    <row r="76" spans="8:10" x14ac:dyDescent="0.35">
      <c r="H76" s="617"/>
      <c r="I76" s="617"/>
      <c r="J76" s="617"/>
    </row>
    <row r="77" spans="8:10" x14ac:dyDescent="0.35">
      <c r="H77" s="617"/>
      <c r="I77" s="617"/>
      <c r="J77" s="617"/>
    </row>
    <row r="78" spans="8:10" x14ac:dyDescent="0.35">
      <c r="H78" s="634"/>
      <c r="I78" s="634"/>
      <c r="J78" s="617"/>
    </row>
    <row r="79" spans="8:10" x14ac:dyDescent="0.35">
      <c r="H79" s="617"/>
      <c r="I79" s="617"/>
      <c r="J79" s="634"/>
    </row>
    <row r="80" spans="8:10" x14ac:dyDescent="0.35">
      <c r="H80" s="617"/>
      <c r="I80" s="617"/>
      <c r="J80" s="617"/>
    </row>
    <row r="81" spans="1:9" s="617" customFormat="1" x14ac:dyDescent="0.35">
      <c r="A81" s="731"/>
      <c r="B81" s="731"/>
      <c r="C81" s="731"/>
      <c r="D81" s="731"/>
      <c r="E81" s="731"/>
      <c r="F81" s="719"/>
      <c r="G81" s="719"/>
    </row>
    <row r="82" spans="1:9" s="617" customFormat="1" x14ac:dyDescent="0.35">
      <c r="A82" s="731"/>
      <c r="B82" s="731"/>
      <c r="C82" s="731"/>
      <c r="D82" s="731"/>
      <c r="E82" s="731"/>
      <c r="F82" s="719"/>
      <c r="G82" s="719"/>
    </row>
    <row r="83" spans="1:9" s="617" customFormat="1" x14ac:dyDescent="0.35">
      <c r="A83" s="731"/>
      <c r="B83" s="731"/>
      <c r="C83" s="731"/>
      <c r="D83" s="731"/>
      <c r="E83" s="731"/>
      <c r="F83" s="719"/>
      <c r="G83" s="719"/>
    </row>
    <row r="84" spans="1:9" s="617" customFormat="1" x14ac:dyDescent="0.35">
      <c r="A84" s="731"/>
      <c r="B84" s="731"/>
      <c r="C84" s="731"/>
      <c r="D84" s="731"/>
      <c r="E84" s="731"/>
      <c r="F84" s="719"/>
      <c r="G84" s="719"/>
    </row>
    <row r="85" spans="1:9" s="617" customFormat="1" x14ac:dyDescent="0.35">
      <c r="A85" s="731"/>
      <c r="B85" s="731"/>
      <c r="C85" s="731"/>
      <c r="D85" s="731"/>
      <c r="E85" s="731"/>
      <c r="F85" s="719"/>
      <c r="G85" s="719"/>
    </row>
    <row r="86" spans="1:9" s="617" customFormat="1" x14ac:dyDescent="0.35">
      <c r="A86" s="731"/>
      <c r="B86" s="731"/>
      <c r="C86" s="731"/>
      <c r="D86" s="731"/>
      <c r="E86" s="731"/>
      <c r="F86" s="719"/>
      <c r="G86" s="719"/>
    </row>
    <row r="87" spans="1:9" s="617" customFormat="1" x14ac:dyDescent="0.35">
      <c r="A87" s="731"/>
      <c r="B87" s="731"/>
      <c r="C87" s="731"/>
      <c r="D87" s="731"/>
      <c r="E87" s="731"/>
      <c r="F87" s="719"/>
      <c r="G87" s="719"/>
      <c r="H87" s="731"/>
      <c r="I87" s="731"/>
    </row>
    <row r="88" spans="1:9" s="617" customFormat="1" x14ac:dyDescent="0.35">
      <c r="A88" s="731"/>
      <c r="B88" s="731"/>
      <c r="C88" s="731"/>
      <c r="D88" s="731"/>
      <c r="E88" s="731"/>
      <c r="F88" s="719"/>
      <c r="G88" s="719"/>
      <c r="H88" s="731"/>
      <c r="I88" s="731"/>
    </row>
    <row r="89" spans="1:9" s="617" customFormat="1" x14ac:dyDescent="0.35">
      <c r="A89" s="731"/>
      <c r="B89" s="731"/>
      <c r="C89" s="731"/>
      <c r="D89" s="731"/>
      <c r="E89" s="731"/>
      <c r="F89" s="719"/>
      <c r="G89" s="719"/>
      <c r="H89" s="731"/>
      <c r="I89" s="731"/>
    </row>
    <row r="90" spans="1:9" s="617" customFormat="1" x14ac:dyDescent="0.35">
      <c r="A90" s="731"/>
      <c r="B90" s="731"/>
      <c r="C90" s="731"/>
      <c r="D90" s="731"/>
      <c r="E90" s="731"/>
      <c r="F90" s="719"/>
      <c r="G90" s="719"/>
      <c r="H90" s="731"/>
      <c r="I90" s="731"/>
    </row>
    <row r="91" spans="1:9" s="617" customFormat="1" x14ac:dyDescent="0.35">
      <c r="A91" s="731"/>
      <c r="B91" s="731"/>
      <c r="C91" s="731"/>
      <c r="D91" s="731"/>
      <c r="E91" s="731"/>
      <c r="F91" s="719"/>
      <c r="G91" s="719"/>
      <c r="H91" s="731"/>
      <c r="I91" s="731"/>
    </row>
    <row r="92" spans="1:9" s="617" customFormat="1" x14ac:dyDescent="0.35">
      <c r="A92" s="731"/>
      <c r="B92" s="731"/>
      <c r="C92" s="731"/>
      <c r="D92" s="731"/>
      <c r="E92" s="731"/>
      <c r="F92" s="719"/>
      <c r="G92" s="719"/>
      <c r="H92" s="731"/>
      <c r="I92" s="731"/>
    </row>
    <row r="93" spans="1:9" s="617" customFormat="1" x14ac:dyDescent="0.35">
      <c r="A93" s="731"/>
      <c r="B93" s="731"/>
      <c r="C93" s="731"/>
      <c r="D93" s="731"/>
      <c r="E93" s="731"/>
      <c r="F93" s="719"/>
      <c r="G93" s="719"/>
      <c r="H93" s="731"/>
      <c r="I93" s="731"/>
    </row>
    <row r="94" spans="1:9" s="617" customFormat="1" x14ac:dyDescent="0.35">
      <c r="A94" s="731"/>
      <c r="B94" s="731"/>
      <c r="C94" s="731"/>
      <c r="D94" s="731"/>
      <c r="E94" s="731"/>
      <c r="F94" s="719"/>
      <c r="G94" s="719"/>
      <c r="H94" s="731"/>
      <c r="I94" s="731"/>
    </row>
    <row r="95" spans="1:9" s="617" customFormat="1" x14ac:dyDescent="0.35">
      <c r="A95" s="731"/>
      <c r="B95" s="731"/>
      <c r="C95" s="731"/>
      <c r="D95" s="731"/>
      <c r="E95" s="731"/>
      <c r="F95" s="719"/>
      <c r="G95" s="719"/>
      <c r="H95" s="731"/>
      <c r="I95" s="731"/>
    </row>
    <row r="96" spans="1:9" s="617" customFormat="1" x14ac:dyDescent="0.35">
      <c r="A96" s="731"/>
      <c r="B96" s="731"/>
      <c r="C96" s="731"/>
      <c r="D96" s="731"/>
      <c r="E96" s="731"/>
      <c r="F96" s="719"/>
      <c r="G96" s="719"/>
      <c r="H96" s="731"/>
      <c r="I96" s="731"/>
    </row>
    <row r="97" spans="1:9" s="617" customFormat="1" x14ac:dyDescent="0.35">
      <c r="A97" s="731"/>
      <c r="B97" s="731"/>
      <c r="C97" s="731"/>
      <c r="D97" s="731"/>
      <c r="E97" s="731"/>
      <c r="F97" s="719"/>
      <c r="G97" s="719"/>
      <c r="H97" s="731"/>
      <c r="I97" s="731"/>
    </row>
    <row r="98" spans="1:9" s="617" customFormat="1" x14ac:dyDescent="0.35">
      <c r="A98" s="731"/>
      <c r="B98" s="731"/>
      <c r="C98" s="731"/>
      <c r="D98" s="731"/>
      <c r="E98" s="731"/>
      <c r="F98" s="719"/>
      <c r="G98" s="719"/>
      <c r="H98" s="731"/>
      <c r="I98" s="731"/>
    </row>
    <row r="99" spans="1:9" s="617" customFormat="1" x14ac:dyDescent="0.35">
      <c r="A99" s="731"/>
      <c r="B99" s="731"/>
      <c r="C99" s="731"/>
      <c r="D99" s="731"/>
      <c r="E99" s="731"/>
      <c r="F99" s="719"/>
      <c r="G99" s="719"/>
      <c r="H99" s="731"/>
      <c r="I99" s="731"/>
    </row>
    <row r="100" spans="1:9" s="617" customFormat="1" x14ac:dyDescent="0.35">
      <c r="A100" s="731"/>
      <c r="B100" s="731"/>
      <c r="C100" s="731"/>
      <c r="D100" s="731"/>
      <c r="E100" s="731"/>
      <c r="F100" s="719"/>
      <c r="G100" s="719"/>
      <c r="H100" s="731"/>
      <c r="I100" s="731"/>
    </row>
    <row r="101" spans="1:9" s="617" customFormat="1" x14ac:dyDescent="0.35">
      <c r="A101" s="731"/>
      <c r="B101" s="731"/>
      <c r="C101" s="731"/>
      <c r="D101" s="731"/>
      <c r="E101" s="731"/>
      <c r="F101" s="719"/>
      <c r="G101" s="719"/>
      <c r="H101" s="731"/>
      <c r="I101" s="731"/>
    </row>
    <row r="102" spans="1:9" s="617" customFormat="1" x14ac:dyDescent="0.35">
      <c r="A102" s="731"/>
      <c r="B102" s="731"/>
      <c r="C102" s="731"/>
      <c r="D102" s="731"/>
      <c r="E102" s="731"/>
      <c r="F102" s="719"/>
      <c r="G102" s="719"/>
      <c r="H102" s="731"/>
      <c r="I102" s="731"/>
    </row>
    <row r="103" spans="1:9" s="617" customFormat="1" x14ac:dyDescent="0.35">
      <c r="A103" s="731"/>
      <c r="B103" s="731"/>
      <c r="C103" s="731"/>
      <c r="D103" s="731"/>
      <c r="E103" s="731"/>
      <c r="F103" s="719"/>
      <c r="G103" s="719"/>
      <c r="H103" s="731"/>
      <c r="I103" s="731"/>
    </row>
    <row r="104" spans="1:9" s="617" customFormat="1" x14ac:dyDescent="0.35">
      <c r="A104" s="731"/>
      <c r="B104" s="731"/>
      <c r="C104" s="731"/>
      <c r="D104" s="731"/>
      <c r="E104" s="731"/>
      <c r="F104" s="719"/>
      <c r="G104" s="719"/>
      <c r="H104" s="731"/>
      <c r="I104" s="731"/>
    </row>
    <row r="105" spans="1:9" s="617" customFormat="1" x14ac:dyDescent="0.35">
      <c r="A105" s="731"/>
      <c r="B105" s="731"/>
      <c r="C105" s="731"/>
      <c r="D105" s="731"/>
      <c r="E105" s="731"/>
      <c r="F105" s="719"/>
      <c r="G105" s="719"/>
      <c r="H105" s="731"/>
      <c r="I105" s="731"/>
    </row>
    <row r="106" spans="1:9" s="617" customFormat="1" x14ac:dyDescent="0.35">
      <c r="A106" s="731"/>
      <c r="B106" s="731"/>
      <c r="C106" s="731"/>
      <c r="D106" s="731"/>
      <c r="E106" s="731"/>
      <c r="F106" s="719"/>
      <c r="G106" s="719"/>
      <c r="H106" s="731"/>
      <c r="I106" s="731"/>
    </row>
  </sheetData>
  <sheetProtection algorithmName="SHA-512" hashValue="IIFzoJd4VACWnca6XuiVLF1KKGcptgdllswbj/RQiIHZCAQo/0rnyE8NOx3eJFT9Oux+lusKohKzAC1OiKMbyg==" saltValue="DSbgbdlIy24Oi5OpuxoUeA==" spinCount="100000" sheet="1" objects="1" scenarios="1"/>
  <mergeCells count="12">
    <mergeCell ref="A40:S40"/>
    <mergeCell ref="A32:D32"/>
    <mergeCell ref="A36:D36"/>
    <mergeCell ref="A29:G29"/>
    <mergeCell ref="A30:G30"/>
    <mergeCell ref="F1:K1"/>
    <mergeCell ref="A4:B4"/>
    <mergeCell ref="B1:E1"/>
    <mergeCell ref="A11:B11"/>
    <mergeCell ref="A21:B21"/>
    <mergeCell ref="D11:E11"/>
    <mergeCell ref="A9:S9"/>
  </mergeCells>
  <pageMargins left="0.7" right="0.7" top="0.75" bottom="0.75" header="0.3" footer="0.3"/>
  <pageSetup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sheetPr>
  <dimension ref="A1:T76"/>
  <sheetViews>
    <sheetView zoomScale="69" zoomScaleNormal="100" workbookViewId="0">
      <selection activeCell="D14" sqref="D14:E14"/>
    </sheetView>
  </sheetViews>
  <sheetFormatPr baseColWidth="10" defaultColWidth="8.81640625" defaultRowHeight="15.5" x14ac:dyDescent="0.35"/>
  <cols>
    <col min="1" max="1" width="27" style="617" customWidth="1"/>
    <col min="2" max="3" width="26.7265625" style="617" bestFit="1" customWidth="1"/>
    <col min="4" max="4" width="40.1796875" style="617" bestFit="1" customWidth="1"/>
    <col min="5" max="5" width="18" style="617" bestFit="1" customWidth="1"/>
    <col min="6" max="6" width="34.26953125" style="617" customWidth="1"/>
    <col min="7" max="7" width="29" style="617" bestFit="1" customWidth="1"/>
    <col min="8" max="8" width="21.26953125" style="617" bestFit="1" customWidth="1"/>
    <col min="9" max="9" width="25.453125" style="617" customWidth="1"/>
    <col min="10" max="10" width="26.54296875" style="617" bestFit="1" customWidth="1"/>
    <col min="11" max="12" width="21.26953125" style="617" bestFit="1" customWidth="1"/>
    <col min="13" max="13" width="24" style="617" customWidth="1"/>
    <col min="14" max="14" width="26.54296875" style="617" bestFit="1" customWidth="1"/>
    <col min="15" max="15" width="23.54296875" style="617" customWidth="1"/>
    <col min="16" max="16" width="21.26953125" style="617" bestFit="1" customWidth="1"/>
    <col min="17" max="17" width="23.7265625" style="617" customWidth="1"/>
    <col min="18" max="18" width="26.54296875" style="689" bestFit="1" customWidth="1"/>
    <col min="19" max="19" width="62.1796875" style="617" customWidth="1"/>
    <col min="20" max="37" width="9.54296875" style="617" customWidth="1"/>
    <col min="38" max="16384" width="8.81640625" style="617"/>
  </cols>
  <sheetData>
    <row r="1" spans="1:20" ht="48" customHeight="1" thickBot="1" x14ac:dyDescent="0.4">
      <c r="A1" s="747" t="s">
        <v>437</v>
      </c>
      <c r="B1" s="1512" t="s">
        <v>1800</v>
      </c>
      <c r="C1" s="1492"/>
      <c r="D1" s="1492"/>
      <c r="E1" s="1493"/>
      <c r="H1" s="1471" t="s">
        <v>318</v>
      </c>
      <c r="I1" s="1472"/>
      <c r="J1" s="1472"/>
      <c r="K1" s="1472"/>
      <c r="L1" s="1472"/>
      <c r="M1" s="1473"/>
    </row>
    <row r="2" spans="1:20" x14ac:dyDescent="0.35">
      <c r="H2" s="657" t="s">
        <v>319</v>
      </c>
      <c r="I2" s="658"/>
      <c r="J2" s="659" t="s">
        <v>320</v>
      </c>
      <c r="K2" s="660"/>
      <c r="L2" s="659" t="s">
        <v>321</v>
      </c>
      <c r="M2" s="661"/>
    </row>
    <row r="4" spans="1:20" ht="37" x14ac:dyDescent="0.35">
      <c r="A4" s="662"/>
      <c r="B4" s="615" t="s">
        <v>324</v>
      </c>
    </row>
    <row r="5" spans="1:20" ht="37" x14ac:dyDescent="0.35">
      <c r="A5" s="615" t="s">
        <v>1923</v>
      </c>
      <c r="B5" s="623">
        <f>SUM(E16:E31)</f>
        <v>0</v>
      </c>
    </row>
    <row r="6" spans="1:20" ht="18.5" x14ac:dyDescent="0.35">
      <c r="A6" s="615" t="s">
        <v>865</v>
      </c>
      <c r="B6" s="623">
        <f>D76</f>
        <v>0</v>
      </c>
    </row>
    <row r="7" spans="1:20" ht="37" x14ac:dyDescent="0.35">
      <c r="A7" s="615" t="s">
        <v>866</v>
      </c>
      <c r="B7" s="623">
        <f>F76</f>
        <v>0</v>
      </c>
    </row>
    <row r="8" spans="1:20" ht="18.5" x14ac:dyDescent="0.35">
      <c r="A8" s="615" t="s">
        <v>1797</v>
      </c>
      <c r="B8" s="623">
        <f>SUM(I76,L76,O76)</f>
        <v>0</v>
      </c>
    </row>
    <row r="9" spans="1:20" x14ac:dyDescent="0.35">
      <c r="P9" s="689"/>
      <c r="R9" s="617"/>
    </row>
    <row r="10" spans="1:20" x14ac:dyDescent="0.35">
      <c r="P10" s="689"/>
      <c r="R10" s="617"/>
    </row>
    <row r="12" spans="1:20" ht="36" x14ac:dyDescent="0.8">
      <c r="A12" s="1463" t="s">
        <v>64</v>
      </c>
      <c r="B12" s="1513"/>
      <c r="C12" s="1513"/>
      <c r="D12" s="1513"/>
      <c r="E12" s="1513"/>
      <c r="F12" s="1513"/>
      <c r="G12" s="1513"/>
      <c r="H12" s="1513"/>
      <c r="I12" s="1513"/>
      <c r="J12" s="1513"/>
      <c r="K12" s="1513"/>
      <c r="L12" s="1513"/>
      <c r="M12" s="1513"/>
      <c r="N12" s="1513"/>
      <c r="O12" s="1513"/>
      <c r="P12" s="1513"/>
      <c r="Q12" s="1513"/>
      <c r="R12" s="1513"/>
      <c r="S12" s="1513"/>
      <c r="T12" s="1513"/>
    </row>
    <row r="13" spans="1:20" s="689" customFormat="1" ht="21" x14ac:dyDescent="0.5">
      <c r="A13" s="748" t="s">
        <v>1795</v>
      </c>
    </row>
    <row r="14" spans="1:20" s="667" customFormat="1" ht="24" thickBot="1" x14ac:dyDescent="0.6">
      <c r="A14" s="617"/>
      <c r="B14" s="617"/>
      <c r="C14" s="617"/>
      <c r="D14" s="1484" t="s">
        <v>330</v>
      </c>
      <c r="E14" s="1485"/>
      <c r="G14" s="617"/>
      <c r="H14" s="617"/>
      <c r="I14" s="617"/>
      <c r="J14" s="617"/>
      <c r="K14" s="617"/>
      <c r="L14" s="617"/>
      <c r="M14" s="617"/>
      <c r="N14" s="617"/>
      <c r="O14" s="617"/>
      <c r="P14" s="617"/>
      <c r="Q14" s="617"/>
    </row>
    <row r="15" spans="1:20" s="753" customFormat="1" ht="48" customHeight="1" x14ac:dyDescent="0.35">
      <c r="A15" s="749" t="s">
        <v>331</v>
      </c>
      <c r="B15" s="750" t="s">
        <v>439</v>
      </c>
      <c r="C15" s="750" t="s">
        <v>440</v>
      </c>
      <c r="D15" s="751" t="s">
        <v>441</v>
      </c>
      <c r="E15" s="752" t="s">
        <v>442</v>
      </c>
      <c r="G15" s="754"/>
      <c r="H15" s="754"/>
      <c r="I15" s="754"/>
      <c r="J15" s="754"/>
    </row>
    <row r="16" spans="1:20" s="689" customFormat="1" x14ac:dyDescent="0.35">
      <c r="A16" s="755"/>
      <c r="B16" s="694"/>
      <c r="C16" s="756">
        <f>B16*0.001</f>
        <v>0</v>
      </c>
      <c r="D16" s="694">
        <v>3.7109999999999999</v>
      </c>
      <c r="E16" s="757">
        <f>(C16*D16*0.1949)*(21/1000)</f>
        <v>0</v>
      </c>
      <c r="G16" s="758"/>
      <c r="H16" s="758"/>
      <c r="I16" s="758"/>
      <c r="J16" s="758"/>
    </row>
    <row r="17" spans="1:5" s="689" customFormat="1" x14ac:dyDescent="0.35">
      <c r="A17" s="755"/>
      <c r="B17" s="694"/>
      <c r="C17" s="756">
        <f t="shared" ref="C17:C31" si="0">B17*0.001</f>
        <v>0</v>
      </c>
      <c r="D17" s="694">
        <v>3.7109999999999999</v>
      </c>
      <c r="E17" s="757">
        <f t="shared" ref="E17:E31" si="1">(C17*D17*0.1949)*(21/1000)</f>
        <v>0</v>
      </c>
    </row>
    <row r="18" spans="1:5" s="689" customFormat="1" x14ac:dyDescent="0.35">
      <c r="A18" s="755"/>
      <c r="B18" s="694"/>
      <c r="C18" s="756">
        <f t="shared" si="0"/>
        <v>0</v>
      </c>
      <c r="D18" s="694">
        <v>3.7109999999999999</v>
      </c>
      <c r="E18" s="757">
        <f t="shared" si="1"/>
        <v>0</v>
      </c>
    </row>
    <row r="19" spans="1:5" s="689" customFormat="1" x14ac:dyDescent="0.35">
      <c r="A19" s="755"/>
      <c r="B19" s="694"/>
      <c r="C19" s="756">
        <f t="shared" si="0"/>
        <v>0</v>
      </c>
      <c r="D19" s="694">
        <v>3.7109999999999999</v>
      </c>
      <c r="E19" s="757">
        <f t="shared" si="1"/>
        <v>0</v>
      </c>
    </row>
    <row r="20" spans="1:5" s="689" customFormat="1" x14ac:dyDescent="0.35">
      <c r="A20" s="755"/>
      <c r="B20" s="694"/>
      <c r="C20" s="756">
        <f t="shared" si="0"/>
        <v>0</v>
      </c>
      <c r="D20" s="694">
        <v>3.7109999999999999</v>
      </c>
      <c r="E20" s="757">
        <f t="shared" si="1"/>
        <v>0</v>
      </c>
    </row>
    <row r="21" spans="1:5" s="689" customFormat="1" x14ac:dyDescent="0.35">
      <c r="A21" s="759"/>
      <c r="B21" s="694"/>
      <c r="C21" s="756">
        <f t="shared" si="0"/>
        <v>0</v>
      </c>
      <c r="D21" s="694">
        <v>3.7109999999999999</v>
      </c>
      <c r="E21" s="757">
        <f t="shared" si="1"/>
        <v>0</v>
      </c>
    </row>
    <row r="22" spans="1:5" s="689" customFormat="1" x14ac:dyDescent="0.35">
      <c r="A22" s="760"/>
      <c r="B22" s="694"/>
      <c r="C22" s="756">
        <f t="shared" si="0"/>
        <v>0</v>
      </c>
      <c r="D22" s="694">
        <v>3.7109999999999999</v>
      </c>
      <c r="E22" s="757">
        <f t="shared" si="1"/>
        <v>0</v>
      </c>
    </row>
    <row r="23" spans="1:5" s="689" customFormat="1" x14ac:dyDescent="0.35">
      <c r="A23" s="759"/>
      <c r="B23" s="694"/>
      <c r="C23" s="756">
        <f t="shared" si="0"/>
        <v>0</v>
      </c>
      <c r="D23" s="694">
        <v>3.7109999999999999</v>
      </c>
      <c r="E23" s="757">
        <f t="shared" si="1"/>
        <v>0</v>
      </c>
    </row>
    <row r="24" spans="1:5" s="689" customFormat="1" x14ac:dyDescent="0.35">
      <c r="A24" s="759"/>
      <c r="B24" s="694"/>
      <c r="C24" s="756">
        <f t="shared" si="0"/>
        <v>0</v>
      </c>
      <c r="D24" s="694">
        <v>3.7109999999999999</v>
      </c>
      <c r="E24" s="757">
        <f t="shared" si="1"/>
        <v>0</v>
      </c>
    </row>
    <row r="25" spans="1:5" s="689" customFormat="1" x14ac:dyDescent="0.35">
      <c r="A25" s="759"/>
      <c r="B25" s="694"/>
      <c r="C25" s="756">
        <f t="shared" si="0"/>
        <v>0</v>
      </c>
      <c r="D25" s="694">
        <v>3.7109999999999999</v>
      </c>
      <c r="E25" s="757">
        <f t="shared" si="1"/>
        <v>0</v>
      </c>
    </row>
    <row r="26" spans="1:5" s="689" customFormat="1" x14ac:dyDescent="0.35">
      <c r="A26" s="759"/>
      <c r="B26" s="694"/>
      <c r="C26" s="756">
        <f t="shared" si="0"/>
        <v>0</v>
      </c>
      <c r="D26" s="694">
        <v>3.7109999999999999</v>
      </c>
      <c r="E26" s="757">
        <f t="shared" si="1"/>
        <v>0</v>
      </c>
    </row>
    <row r="27" spans="1:5" s="689" customFormat="1" x14ac:dyDescent="0.35">
      <c r="A27" s="759"/>
      <c r="B27" s="694"/>
      <c r="C27" s="756">
        <f t="shared" si="0"/>
        <v>0</v>
      </c>
      <c r="D27" s="694">
        <v>3.7109999999999999</v>
      </c>
      <c r="E27" s="757">
        <f t="shared" si="1"/>
        <v>0</v>
      </c>
    </row>
    <row r="28" spans="1:5" s="689" customFormat="1" x14ac:dyDescent="0.35">
      <c r="A28" s="759"/>
      <c r="B28" s="694"/>
      <c r="C28" s="756">
        <f t="shared" si="0"/>
        <v>0</v>
      </c>
      <c r="D28" s="694">
        <v>3.7109999999999999</v>
      </c>
      <c r="E28" s="757">
        <f t="shared" si="1"/>
        <v>0</v>
      </c>
    </row>
    <row r="29" spans="1:5" s="689" customFormat="1" x14ac:dyDescent="0.35">
      <c r="A29" s="759"/>
      <c r="B29" s="694"/>
      <c r="C29" s="756">
        <f t="shared" si="0"/>
        <v>0</v>
      </c>
      <c r="D29" s="694">
        <v>3.7109999999999999</v>
      </c>
      <c r="E29" s="757">
        <f t="shared" si="1"/>
        <v>0</v>
      </c>
    </row>
    <row r="30" spans="1:5" s="689" customFormat="1" x14ac:dyDescent="0.35">
      <c r="A30" s="759"/>
      <c r="B30" s="694"/>
      <c r="C30" s="756">
        <f t="shared" si="0"/>
        <v>0</v>
      </c>
      <c r="D30" s="694">
        <v>3.7109999999999999</v>
      </c>
      <c r="E30" s="757">
        <f t="shared" si="1"/>
        <v>0</v>
      </c>
    </row>
    <row r="31" spans="1:5" s="689" customFormat="1" ht="16" thickBot="1" x14ac:dyDescent="0.4">
      <c r="A31" s="761"/>
      <c r="B31" s="694"/>
      <c r="C31" s="756">
        <f t="shared" si="0"/>
        <v>0</v>
      </c>
      <c r="D31" s="694">
        <v>3.7109999999999999</v>
      </c>
      <c r="E31" s="762">
        <f t="shared" si="1"/>
        <v>0</v>
      </c>
    </row>
    <row r="32" spans="1:5" s="689" customFormat="1" ht="14.5" x14ac:dyDescent="0.35">
      <c r="A32" s="763" t="s">
        <v>443</v>
      </c>
    </row>
    <row r="33" spans="1:20" ht="23.5" x14ac:dyDescent="0.55000000000000004">
      <c r="G33" s="667"/>
      <c r="H33" s="667"/>
      <c r="I33" s="667"/>
      <c r="J33" s="667"/>
      <c r="K33" s="667"/>
      <c r="L33" s="667"/>
      <c r="M33" s="667"/>
      <c r="N33" s="667"/>
      <c r="O33" s="667"/>
      <c r="P33" s="667"/>
      <c r="Q33" s="667"/>
    </row>
    <row r="35" spans="1:20" ht="36" x14ac:dyDescent="0.8">
      <c r="A35" s="1463" t="s">
        <v>1793</v>
      </c>
      <c r="B35" s="1513"/>
      <c r="C35" s="1513"/>
      <c r="D35" s="1513"/>
      <c r="E35" s="1513"/>
      <c r="F35" s="1513"/>
      <c r="G35" s="1513"/>
      <c r="H35" s="1513"/>
      <c r="I35" s="1513"/>
      <c r="J35" s="1513"/>
      <c r="K35" s="1513"/>
      <c r="L35" s="1513"/>
      <c r="M35" s="1513"/>
      <c r="N35" s="1513"/>
      <c r="O35" s="1513"/>
      <c r="P35" s="1513"/>
      <c r="Q35" s="1513"/>
      <c r="R35" s="1513"/>
      <c r="S35" s="1513"/>
      <c r="T35" s="1513"/>
    </row>
    <row r="36" spans="1:20" ht="21" x14ac:dyDescent="0.5">
      <c r="A36" s="748" t="s">
        <v>1794</v>
      </c>
    </row>
    <row r="37" spans="1:20" s="667" customFormat="1" ht="26.25" customHeight="1" thickBot="1" x14ac:dyDescent="0.6">
      <c r="A37" s="648"/>
      <c r="C37" s="764"/>
      <c r="D37" s="1482" t="s">
        <v>330</v>
      </c>
      <c r="E37" s="1483"/>
    </row>
    <row r="38" spans="1:20" s="689" customFormat="1" ht="53.15" customHeight="1" x14ac:dyDescent="0.35">
      <c r="B38" s="1508" t="s">
        <v>865</v>
      </c>
      <c r="C38" s="1509"/>
      <c r="D38" s="1510"/>
      <c r="E38" s="1506" t="s">
        <v>866</v>
      </c>
      <c r="F38" s="1507"/>
      <c r="G38" s="1508" t="s">
        <v>867</v>
      </c>
      <c r="H38" s="1509"/>
      <c r="I38" s="1510"/>
      <c r="J38" s="1506" t="s">
        <v>868</v>
      </c>
      <c r="K38" s="1511"/>
      <c r="L38" s="1507"/>
      <c r="M38" s="1508" t="s">
        <v>869</v>
      </c>
      <c r="N38" s="1509"/>
      <c r="O38" s="1510"/>
    </row>
    <row r="39" spans="1:20" s="689" customFormat="1" ht="92.5" x14ac:dyDescent="0.35">
      <c r="A39" s="765" t="s">
        <v>331</v>
      </c>
      <c r="B39" s="766" t="s">
        <v>870</v>
      </c>
      <c r="C39" s="615" t="s">
        <v>871</v>
      </c>
      <c r="D39" s="767" t="s">
        <v>872</v>
      </c>
      <c r="E39" s="615" t="s">
        <v>873</v>
      </c>
      <c r="F39" s="768" t="s">
        <v>874</v>
      </c>
      <c r="G39" s="769" t="s">
        <v>875</v>
      </c>
      <c r="H39" s="770" t="s">
        <v>876</v>
      </c>
      <c r="I39" s="771" t="s">
        <v>877</v>
      </c>
      <c r="J39" s="769" t="s">
        <v>875</v>
      </c>
      <c r="K39" s="770" t="s">
        <v>876</v>
      </c>
      <c r="L39" s="771" t="s">
        <v>878</v>
      </c>
      <c r="M39" s="769" t="s">
        <v>875</v>
      </c>
      <c r="N39" s="770" t="s">
        <v>876</v>
      </c>
      <c r="O39" s="771" t="s">
        <v>879</v>
      </c>
    </row>
    <row r="40" spans="1:20" s="689" customFormat="1" ht="14.5" x14ac:dyDescent="0.35">
      <c r="A40" s="772"/>
      <c r="B40" s="773"/>
      <c r="C40" s="774">
        <f>B40/1000</f>
        <v>0</v>
      </c>
      <c r="D40" s="775">
        <f>C40*1.10231*'Emission Factors'!$B$659</f>
        <v>0</v>
      </c>
      <c r="E40" s="773"/>
      <c r="F40" s="776">
        <f>E40*'Emission Factors'!$B$651/1000</f>
        <v>0</v>
      </c>
      <c r="G40" s="773"/>
      <c r="H40" s="777">
        <f>G40*0.001</f>
        <v>0</v>
      </c>
      <c r="I40" s="776">
        <f>H40*'Emission Factors'!$B$633</f>
        <v>0</v>
      </c>
      <c r="J40" s="773"/>
      <c r="K40" s="777">
        <f>J40*0.001</f>
        <v>0</v>
      </c>
      <c r="L40" s="776">
        <f>K40*'Emission Factors'!$B$634</f>
        <v>0</v>
      </c>
      <c r="M40" s="773"/>
      <c r="N40" s="777">
        <f>M40*0.001</f>
        <v>0</v>
      </c>
      <c r="O40" s="776">
        <f>N40*'Emission Factors'!$B$635</f>
        <v>0</v>
      </c>
    </row>
    <row r="41" spans="1:20" s="689" customFormat="1" ht="14.5" x14ac:dyDescent="0.35">
      <c r="A41" s="772"/>
      <c r="B41" s="773"/>
      <c r="C41" s="774">
        <f t="shared" ref="C41:C75" si="2">B41/1000</f>
        <v>0</v>
      </c>
      <c r="D41" s="775">
        <f>C41*1.10231*'Emission Factors'!$B$659</f>
        <v>0</v>
      </c>
      <c r="E41" s="773"/>
      <c r="F41" s="776">
        <f>E41*'Emission Factors'!$B$651/1000</f>
        <v>0</v>
      </c>
      <c r="G41" s="773"/>
      <c r="H41" s="777">
        <f t="shared" ref="H41:H75" si="3">G41*0.001</f>
        <v>0</v>
      </c>
      <c r="I41" s="776">
        <f>H41*'Emission Factors'!$B$633</f>
        <v>0</v>
      </c>
      <c r="J41" s="773"/>
      <c r="K41" s="777">
        <f t="shared" ref="K41:K75" si="4">J41*0.001</f>
        <v>0</v>
      </c>
      <c r="L41" s="776">
        <f>K41*'Emission Factors'!$B$634</f>
        <v>0</v>
      </c>
      <c r="M41" s="773"/>
      <c r="N41" s="777">
        <f t="shared" ref="N41:N75" si="5">M41*0.001</f>
        <v>0</v>
      </c>
      <c r="O41" s="776">
        <f>N41*'Emission Factors'!$B$635</f>
        <v>0</v>
      </c>
    </row>
    <row r="42" spans="1:20" s="689" customFormat="1" ht="14.5" x14ac:dyDescent="0.35">
      <c r="A42" s="772"/>
      <c r="B42" s="773"/>
      <c r="C42" s="774">
        <f t="shared" si="2"/>
        <v>0</v>
      </c>
      <c r="D42" s="775">
        <f>C42*1.10231*'Emission Factors'!$B$659</f>
        <v>0</v>
      </c>
      <c r="E42" s="773"/>
      <c r="F42" s="776">
        <f>E42*'Emission Factors'!$B$651/1000</f>
        <v>0</v>
      </c>
      <c r="G42" s="773"/>
      <c r="H42" s="777">
        <f t="shared" si="3"/>
        <v>0</v>
      </c>
      <c r="I42" s="776">
        <f>H42*'Emission Factors'!$B$633</f>
        <v>0</v>
      </c>
      <c r="J42" s="773"/>
      <c r="K42" s="777">
        <f t="shared" si="4"/>
        <v>0</v>
      </c>
      <c r="L42" s="776">
        <f>K42*'Emission Factors'!$B$634</f>
        <v>0</v>
      </c>
      <c r="M42" s="773"/>
      <c r="N42" s="777">
        <f t="shared" si="5"/>
        <v>0</v>
      </c>
      <c r="O42" s="776">
        <f>N42*'Emission Factors'!$B$635</f>
        <v>0</v>
      </c>
    </row>
    <row r="43" spans="1:20" s="689" customFormat="1" ht="14.5" x14ac:dyDescent="0.35">
      <c r="A43" s="772"/>
      <c r="B43" s="773"/>
      <c r="C43" s="774">
        <f t="shared" si="2"/>
        <v>0</v>
      </c>
      <c r="D43" s="775">
        <f>C43*1.10231*'Emission Factors'!$B$659</f>
        <v>0</v>
      </c>
      <c r="E43" s="773"/>
      <c r="F43" s="776">
        <f>E43*'Emission Factors'!$B$651/1000</f>
        <v>0</v>
      </c>
      <c r="G43" s="773"/>
      <c r="H43" s="777">
        <f t="shared" si="3"/>
        <v>0</v>
      </c>
      <c r="I43" s="776">
        <f>H43*'Emission Factors'!$B$633</f>
        <v>0</v>
      </c>
      <c r="J43" s="773"/>
      <c r="K43" s="777">
        <f t="shared" si="4"/>
        <v>0</v>
      </c>
      <c r="L43" s="776">
        <f>K43*'Emission Factors'!$B$634</f>
        <v>0</v>
      </c>
      <c r="M43" s="773"/>
      <c r="N43" s="777">
        <f t="shared" si="5"/>
        <v>0</v>
      </c>
      <c r="O43" s="776">
        <f>N43*'Emission Factors'!$B$635</f>
        <v>0</v>
      </c>
    </row>
    <row r="44" spans="1:20" s="689" customFormat="1" ht="14.5" x14ac:dyDescent="0.35">
      <c r="A44" s="772"/>
      <c r="B44" s="773"/>
      <c r="C44" s="774">
        <f t="shared" si="2"/>
        <v>0</v>
      </c>
      <c r="D44" s="775">
        <f>C44*1.10231*'Emission Factors'!$B$659</f>
        <v>0</v>
      </c>
      <c r="E44" s="773"/>
      <c r="F44" s="776">
        <f>E44*'Emission Factors'!$B$651/1000</f>
        <v>0</v>
      </c>
      <c r="G44" s="773"/>
      <c r="H44" s="777">
        <f t="shared" si="3"/>
        <v>0</v>
      </c>
      <c r="I44" s="776">
        <f>H44*'Emission Factors'!$B$633</f>
        <v>0</v>
      </c>
      <c r="J44" s="773"/>
      <c r="K44" s="777">
        <f t="shared" si="4"/>
        <v>0</v>
      </c>
      <c r="L44" s="776">
        <f>K44*'Emission Factors'!$B$634</f>
        <v>0</v>
      </c>
      <c r="M44" s="773"/>
      <c r="N44" s="777">
        <f t="shared" si="5"/>
        <v>0</v>
      </c>
      <c r="O44" s="776">
        <f>N44*'Emission Factors'!$B$635</f>
        <v>0</v>
      </c>
    </row>
    <row r="45" spans="1:20" s="689" customFormat="1" ht="14.5" x14ac:dyDescent="0.35">
      <c r="A45" s="772"/>
      <c r="B45" s="773"/>
      <c r="C45" s="774">
        <f t="shared" si="2"/>
        <v>0</v>
      </c>
      <c r="D45" s="775">
        <f>C45*1.10231*'Emission Factors'!$B$659</f>
        <v>0</v>
      </c>
      <c r="E45" s="773"/>
      <c r="F45" s="776">
        <f>E45*'Emission Factors'!$B$651/1000</f>
        <v>0</v>
      </c>
      <c r="G45" s="773"/>
      <c r="H45" s="777">
        <f t="shared" si="3"/>
        <v>0</v>
      </c>
      <c r="I45" s="776">
        <f>H45*'Emission Factors'!$B$633</f>
        <v>0</v>
      </c>
      <c r="J45" s="773"/>
      <c r="K45" s="777">
        <f t="shared" si="4"/>
        <v>0</v>
      </c>
      <c r="L45" s="776">
        <f>K45*'Emission Factors'!$B$634</f>
        <v>0</v>
      </c>
      <c r="M45" s="773"/>
      <c r="N45" s="777">
        <f t="shared" si="5"/>
        <v>0</v>
      </c>
      <c r="O45" s="776">
        <f>N45*'Emission Factors'!$B$635</f>
        <v>0</v>
      </c>
    </row>
    <row r="46" spans="1:20" s="689" customFormat="1" ht="14.5" x14ac:dyDescent="0.35">
      <c r="A46" s="772"/>
      <c r="B46" s="773"/>
      <c r="C46" s="774">
        <f t="shared" si="2"/>
        <v>0</v>
      </c>
      <c r="D46" s="775">
        <f>C46*1.10231*'Emission Factors'!$B$659</f>
        <v>0</v>
      </c>
      <c r="E46" s="773"/>
      <c r="F46" s="776">
        <f>E46*'Emission Factors'!$B$651/1000</f>
        <v>0</v>
      </c>
      <c r="G46" s="773"/>
      <c r="H46" s="777">
        <f t="shared" si="3"/>
        <v>0</v>
      </c>
      <c r="I46" s="776">
        <f>H46*'Emission Factors'!$B$633</f>
        <v>0</v>
      </c>
      <c r="J46" s="773"/>
      <c r="K46" s="777">
        <f t="shared" si="4"/>
        <v>0</v>
      </c>
      <c r="L46" s="776">
        <f>K46*'Emission Factors'!$B$634</f>
        <v>0</v>
      </c>
      <c r="M46" s="773"/>
      <c r="N46" s="777">
        <f t="shared" si="5"/>
        <v>0</v>
      </c>
      <c r="O46" s="776">
        <f>N46*'Emission Factors'!$B$635</f>
        <v>0</v>
      </c>
    </row>
    <row r="47" spans="1:20" s="689" customFormat="1" ht="14.5" x14ac:dyDescent="0.35">
      <c r="A47" s="772"/>
      <c r="B47" s="773"/>
      <c r="C47" s="774">
        <f t="shared" si="2"/>
        <v>0</v>
      </c>
      <c r="D47" s="775">
        <f>C47*1.10231*'Emission Factors'!$B$659</f>
        <v>0</v>
      </c>
      <c r="E47" s="773"/>
      <c r="F47" s="776">
        <f>E47*'Emission Factors'!$B$651/1000</f>
        <v>0</v>
      </c>
      <c r="G47" s="773"/>
      <c r="H47" s="777">
        <f t="shared" si="3"/>
        <v>0</v>
      </c>
      <c r="I47" s="776">
        <f>H47*'Emission Factors'!$B$633</f>
        <v>0</v>
      </c>
      <c r="J47" s="773"/>
      <c r="K47" s="777">
        <f t="shared" si="4"/>
        <v>0</v>
      </c>
      <c r="L47" s="776">
        <f>K47*'Emission Factors'!$B$634</f>
        <v>0</v>
      </c>
      <c r="M47" s="773"/>
      <c r="N47" s="777">
        <f t="shared" si="5"/>
        <v>0</v>
      </c>
      <c r="O47" s="776">
        <f>N47*'Emission Factors'!$B$635</f>
        <v>0</v>
      </c>
    </row>
    <row r="48" spans="1:20" s="689" customFormat="1" ht="14.5" x14ac:dyDescent="0.35">
      <c r="A48" s="772"/>
      <c r="B48" s="773"/>
      <c r="C48" s="774">
        <f t="shared" si="2"/>
        <v>0</v>
      </c>
      <c r="D48" s="775">
        <f>C48*1.10231*'Emission Factors'!$B$659</f>
        <v>0</v>
      </c>
      <c r="E48" s="773"/>
      <c r="F48" s="776">
        <f>E48*'Emission Factors'!$B$651/1000</f>
        <v>0</v>
      </c>
      <c r="G48" s="773"/>
      <c r="H48" s="777">
        <f t="shared" si="3"/>
        <v>0</v>
      </c>
      <c r="I48" s="776">
        <f>H48*'Emission Factors'!$B$633</f>
        <v>0</v>
      </c>
      <c r="J48" s="773"/>
      <c r="K48" s="777">
        <f t="shared" si="4"/>
        <v>0</v>
      </c>
      <c r="L48" s="776">
        <f>K48*'Emission Factors'!$B$634</f>
        <v>0</v>
      </c>
      <c r="M48" s="773"/>
      <c r="N48" s="777">
        <f t="shared" si="5"/>
        <v>0</v>
      </c>
      <c r="O48" s="776">
        <f>N48*'Emission Factors'!$B$635</f>
        <v>0</v>
      </c>
    </row>
    <row r="49" spans="1:15" s="689" customFormat="1" ht="14.5" x14ac:dyDescent="0.35">
      <c r="A49" s="772"/>
      <c r="B49" s="773"/>
      <c r="C49" s="774">
        <f t="shared" si="2"/>
        <v>0</v>
      </c>
      <c r="D49" s="775">
        <f>C49*1.10231*'Emission Factors'!$B$659</f>
        <v>0</v>
      </c>
      <c r="E49" s="773"/>
      <c r="F49" s="776">
        <f>E49*'Emission Factors'!$B$651/1000</f>
        <v>0</v>
      </c>
      <c r="G49" s="773"/>
      <c r="H49" s="777">
        <f t="shared" si="3"/>
        <v>0</v>
      </c>
      <c r="I49" s="776">
        <f>H49*'Emission Factors'!$B$633</f>
        <v>0</v>
      </c>
      <c r="J49" s="773"/>
      <c r="K49" s="777">
        <f t="shared" si="4"/>
        <v>0</v>
      </c>
      <c r="L49" s="776">
        <f>K49*'Emission Factors'!$B$634</f>
        <v>0</v>
      </c>
      <c r="M49" s="773"/>
      <c r="N49" s="777">
        <f t="shared" si="5"/>
        <v>0</v>
      </c>
      <c r="O49" s="776">
        <f>N49*'Emission Factors'!$B$635</f>
        <v>0</v>
      </c>
    </row>
    <row r="50" spans="1:15" s="689" customFormat="1" ht="14.5" x14ac:dyDescent="0.35">
      <c r="A50" s="772"/>
      <c r="B50" s="773"/>
      <c r="C50" s="774">
        <f t="shared" si="2"/>
        <v>0</v>
      </c>
      <c r="D50" s="775">
        <f>C50*1.10231*'Emission Factors'!$B$659</f>
        <v>0</v>
      </c>
      <c r="E50" s="773"/>
      <c r="F50" s="776">
        <f>E50*'Emission Factors'!$B$651/1000</f>
        <v>0</v>
      </c>
      <c r="G50" s="773"/>
      <c r="H50" s="777">
        <f t="shared" si="3"/>
        <v>0</v>
      </c>
      <c r="I50" s="776">
        <f>H50*'Emission Factors'!$B$633</f>
        <v>0</v>
      </c>
      <c r="J50" s="773"/>
      <c r="K50" s="777">
        <f t="shared" si="4"/>
        <v>0</v>
      </c>
      <c r="L50" s="776">
        <f>K50*'Emission Factors'!$B$634</f>
        <v>0</v>
      </c>
      <c r="M50" s="773"/>
      <c r="N50" s="777">
        <f t="shared" si="5"/>
        <v>0</v>
      </c>
      <c r="O50" s="776">
        <f>N50*'Emission Factors'!$B$635</f>
        <v>0</v>
      </c>
    </row>
    <row r="51" spans="1:15" s="689" customFormat="1" ht="14.5" x14ac:dyDescent="0.35">
      <c r="A51" s="772"/>
      <c r="B51" s="773"/>
      <c r="C51" s="774">
        <f t="shared" si="2"/>
        <v>0</v>
      </c>
      <c r="D51" s="775">
        <f>C51*1.10231*'Emission Factors'!$B$659</f>
        <v>0</v>
      </c>
      <c r="E51" s="773"/>
      <c r="F51" s="776">
        <f>E51*'Emission Factors'!$B$651/1000</f>
        <v>0</v>
      </c>
      <c r="G51" s="773"/>
      <c r="H51" s="777">
        <f t="shared" si="3"/>
        <v>0</v>
      </c>
      <c r="I51" s="776">
        <f>H51*'Emission Factors'!$B$633</f>
        <v>0</v>
      </c>
      <c r="J51" s="773"/>
      <c r="K51" s="777">
        <f t="shared" si="4"/>
        <v>0</v>
      </c>
      <c r="L51" s="776">
        <f>K51*'Emission Factors'!$B$634</f>
        <v>0</v>
      </c>
      <c r="M51" s="773"/>
      <c r="N51" s="777">
        <f t="shared" si="5"/>
        <v>0</v>
      </c>
      <c r="O51" s="776">
        <f>N51*'Emission Factors'!$B$635</f>
        <v>0</v>
      </c>
    </row>
    <row r="52" spans="1:15" s="689" customFormat="1" ht="14.5" x14ac:dyDescent="0.35">
      <c r="A52" s="772"/>
      <c r="B52" s="773"/>
      <c r="C52" s="774">
        <f t="shared" si="2"/>
        <v>0</v>
      </c>
      <c r="D52" s="775">
        <f>C52*1.10231*'Emission Factors'!$B$659</f>
        <v>0</v>
      </c>
      <c r="E52" s="773"/>
      <c r="F52" s="776">
        <f>E52*'Emission Factors'!$B$651/1000</f>
        <v>0</v>
      </c>
      <c r="G52" s="773"/>
      <c r="H52" s="777">
        <f t="shared" si="3"/>
        <v>0</v>
      </c>
      <c r="I52" s="776">
        <f>H52*'Emission Factors'!$B$633</f>
        <v>0</v>
      </c>
      <c r="J52" s="773"/>
      <c r="K52" s="777">
        <f t="shared" si="4"/>
        <v>0</v>
      </c>
      <c r="L52" s="776">
        <f>K52*'Emission Factors'!$B$634</f>
        <v>0</v>
      </c>
      <c r="M52" s="773"/>
      <c r="N52" s="777">
        <f t="shared" si="5"/>
        <v>0</v>
      </c>
      <c r="O52" s="776">
        <f>N52*'Emission Factors'!$B$635</f>
        <v>0</v>
      </c>
    </row>
    <row r="53" spans="1:15" s="689" customFormat="1" ht="14.5" x14ac:dyDescent="0.35">
      <c r="A53" s="772"/>
      <c r="B53" s="773"/>
      <c r="C53" s="774">
        <f t="shared" si="2"/>
        <v>0</v>
      </c>
      <c r="D53" s="775">
        <f>C53*1.10231*'Emission Factors'!$B$659</f>
        <v>0</v>
      </c>
      <c r="E53" s="773"/>
      <c r="F53" s="776">
        <f>E53*'Emission Factors'!$B$651/1000</f>
        <v>0</v>
      </c>
      <c r="G53" s="773"/>
      <c r="H53" s="777">
        <f t="shared" si="3"/>
        <v>0</v>
      </c>
      <c r="I53" s="776">
        <f>H53*'Emission Factors'!$B$633</f>
        <v>0</v>
      </c>
      <c r="J53" s="773"/>
      <c r="K53" s="777">
        <f t="shared" si="4"/>
        <v>0</v>
      </c>
      <c r="L53" s="776">
        <f>K53*'Emission Factors'!$B$634</f>
        <v>0</v>
      </c>
      <c r="M53" s="773"/>
      <c r="N53" s="777">
        <f t="shared" si="5"/>
        <v>0</v>
      </c>
      <c r="O53" s="776">
        <f>N53*'Emission Factors'!$B$635</f>
        <v>0</v>
      </c>
    </row>
    <row r="54" spans="1:15" s="689" customFormat="1" ht="14.5" x14ac:dyDescent="0.35">
      <c r="A54" s="772"/>
      <c r="B54" s="773"/>
      <c r="C54" s="774">
        <f t="shared" si="2"/>
        <v>0</v>
      </c>
      <c r="D54" s="775">
        <f>C54*1.10231*'Emission Factors'!$B$659</f>
        <v>0</v>
      </c>
      <c r="E54" s="773"/>
      <c r="F54" s="776">
        <f>E54*'Emission Factors'!$B$651/1000</f>
        <v>0</v>
      </c>
      <c r="G54" s="773"/>
      <c r="H54" s="777">
        <f t="shared" si="3"/>
        <v>0</v>
      </c>
      <c r="I54" s="776">
        <f>H54*'Emission Factors'!$B$633</f>
        <v>0</v>
      </c>
      <c r="J54" s="773"/>
      <c r="K54" s="777">
        <f t="shared" si="4"/>
        <v>0</v>
      </c>
      <c r="L54" s="776">
        <f>K54*'Emission Factors'!$B$634</f>
        <v>0</v>
      </c>
      <c r="M54" s="773"/>
      <c r="N54" s="777">
        <f t="shared" si="5"/>
        <v>0</v>
      </c>
      <c r="O54" s="776">
        <f>N54*'Emission Factors'!$B$635</f>
        <v>0</v>
      </c>
    </row>
    <row r="55" spans="1:15" s="689" customFormat="1" ht="14.5" x14ac:dyDescent="0.35">
      <c r="A55" s="772"/>
      <c r="B55" s="773"/>
      <c r="C55" s="774">
        <f t="shared" si="2"/>
        <v>0</v>
      </c>
      <c r="D55" s="775">
        <f>C55*1.10231*'Emission Factors'!$B$659</f>
        <v>0</v>
      </c>
      <c r="E55" s="773"/>
      <c r="F55" s="776">
        <f>E55*'Emission Factors'!$B$651/1000</f>
        <v>0</v>
      </c>
      <c r="G55" s="773"/>
      <c r="H55" s="777">
        <f t="shared" si="3"/>
        <v>0</v>
      </c>
      <c r="I55" s="776">
        <f>H55*'Emission Factors'!$B$633</f>
        <v>0</v>
      </c>
      <c r="J55" s="773"/>
      <c r="K55" s="777">
        <f t="shared" si="4"/>
        <v>0</v>
      </c>
      <c r="L55" s="776">
        <f>K55*'Emission Factors'!$B$634</f>
        <v>0</v>
      </c>
      <c r="M55" s="773"/>
      <c r="N55" s="777">
        <f t="shared" si="5"/>
        <v>0</v>
      </c>
      <c r="O55" s="776">
        <f>N55*'Emission Factors'!$B$635</f>
        <v>0</v>
      </c>
    </row>
    <row r="56" spans="1:15" s="689" customFormat="1" ht="14.5" x14ac:dyDescent="0.35">
      <c r="A56" s="772"/>
      <c r="B56" s="773"/>
      <c r="C56" s="774">
        <f t="shared" si="2"/>
        <v>0</v>
      </c>
      <c r="D56" s="775">
        <f>C56*1.10231*'Emission Factors'!$B$659</f>
        <v>0</v>
      </c>
      <c r="E56" s="773"/>
      <c r="F56" s="776">
        <f>E56*'Emission Factors'!$B$651/1000</f>
        <v>0</v>
      </c>
      <c r="G56" s="773"/>
      <c r="H56" s="777">
        <f t="shared" si="3"/>
        <v>0</v>
      </c>
      <c r="I56" s="776">
        <f>H56*'Emission Factors'!$B$633</f>
        <v>0</v>
      </c>
      <c r="J56" s="778"/>
      <c r="K56" s="777">
        <f t="shared" si="4"/>
        <v>0</v>
      </c>
      <c r="L56" s="776">
        <f>K56*'Emission Factors'!$B$634</f>
        <v>0</v>
      </c>
      <c r="M56" s="773"/>
      <c r="N56" s="777">
        <f t="shared" si="5"/>
        <v>0</v>
      </c>
      <c r="O56" s="776">
        <f>N56*'Emission Factors'!$B$635</f>
        <v>0</v>
      </c>
    </row>
    <row r="57" spans="1:15" s="689" customFormat="1" ht="14.5" x14ac:dyDescent="0.35">
      <c r="A57" s="772"/>
      <c r="B57" s="773"/>
      <c r="C57" s="774">
        <f t="shared" si="2"/>
        <v>0</v>
      </c>
      <c r="D57" s="775">
        <f>C57*1.10231*'Emission Factors'!$B$659</f>
        <v>0</v>
      </c>
      <c r="E57" s="773"/>
      <c r="F57" s="776">
        <f>E57*'Emission Factors'!$B$651/1000</f>
        <v>0</v>
      </c>
      <c r="G57" s="773"/>
      <c r="H57" s="777">
        <f t="shared" si="3"/>
        <v>0</v>
      </c>
      <c r="I57" s="776">
        <f>H57*'Emission Factors'!$B$633</f>
        <v>0</v>
      </c>
      <c r="J57" s="778"/>
      <c r="K57" s="777">
        <f t="shared" si="4"/>
        <v>0</v>
      </c>
      <c r="L57" s="776">
        <f>K57*'Emission Factors'!$B$634</f>
        <v>0</v>
      </c>
      <c r="M57" s="778"/>
      <c r="N57" s="777">
        <f t="shared" si="5"/>
        <v>0</v>
      </c>
      <c r="O57" s="776">
        <f>N57*'Emission Factors'!$B$635</f>
        <v>0</v>
      </c>
    </row>
    <row r="58" spans="1:15" s="689" customFormat="1" ht="14.5" x14ac:dyDescent="0.35">
      <c r="A58" s="772"/>
      <c r="B58" s="773"/>
      <c r="C58" s="774">
        <f t="shared" si="2"/>
        <v>0</v>
      </c>
      <c r="D58" s="775">
        <f>C58*1.10231*'Emission Factors'!$B$659</f>
        <v>0</v>
      </c>
      <c r="E58" s="773"/>
      <c r="F58" s="776">
        <f>E58*'Emission Factors'!$B$651/1000</f>
        <v>0</v>
      </c>
      <c r="G58" s="773"/>
      <c r="H58" s="777">
        <f t="shared" si="3"/>
        <v>0</v>
      </c>
      <c r="I58" s="776">
        <f>H58*'Emission Factors'!$B$633</f>
        <v>0</v>
      </c>
      <c r="J58" s="778"/>
      <c r="K58" s="777">
        <f t="shared" si="4"/>
        <v>0</v>
      </c>
      <c r="L58" s="776">
        <f>K58*'Emission Factors'!$B$634</f>
        <v>0</v>
      </c>
      <c r="M58" s="778"/>
      <c r="N58" s="777">
        <f t="shared" si="5"/>
        <v>0</v>
      </c>
      <c r="O58" s="776">
        <f>N58*'Emission Factors'!$B$635</f>
        <v>0</v>
      </c>
    </row>
    <row r="59" spans="1:15" s="689" customFormat="1" ht="14.5" x14ac:dyDescent="0.35">
      <c r="A59" s="772"/>
      <c r="B59" s="773"/>
      <c r="C59" s="774">
        <f t="shared" si="2"/>
        <v>0</v>
      </c>
      <c r="D59" s="775">
        <f>C59*1.10231*'Emission Factors'!$B$659</f>
        <v>0</v>
      </c>
      <c r="E59" s="773"/>
      <c r="F59" s="776">
        <f>E59*'Emission Factors'!$B$651/1000</f>
        <v>0</v>
      </c>
      <c r="G59" s="773"/>
      <c r="H59" s="777">
        <f t="shared" si="3"/>
        <v>0</v>
      </c>
      <c r="I59" s="776">
        <f>H59*'Emission Factors'!$B$633</f>
        <v>0</v>
      </c>
      <c r="J59" s="778"/>
      <c r="K59" s="777">
        <f t="shared" si="4"/>
        <v>0</v>
      </c>
      <c r="L59" s="776">
        <f>K59*'Emission Factors'!$B$634</f>
        <v>0</v>
      </c>
      <c r="M59" s="778"/>
      <c r="N59" s="777">
        <f t="shared" si="5"/>
        <v>0</v>
      </c>
      <c r="O59" s="776">
        <f>N59*'Emission Factors'!$B$635</f>
        <v>0</v>
      </c>
    </row>
    <row r="60" spans="1:15" s="689" customFormat="1" ht="14.5" x14ac:dyDescent="0.35">
      <c r="A60" s="772"/>
      <c r="B60" s="773"/>
      <c r="C60" s="774">
        <f t="shared" si="2"/>
        <v>0</v>
      </c>
      <c r="D60" s="775">
        <f>C60*1.10231*'Emission Factors'!$B$659</f>
        <v>0</v>
      </c>
      <c r="E60" s="773"/>
      <c r="F60" s="776">
        <f>E60*'Emission Factors'!$B$651/1000</f>
        <v>0</v>
      </c>
      <c r="G60" s="773"/>
      <c r="H60" s="777">
        <f t="shared" si="3"/>
        <v>0</v>
      </c>
      <c r="I60" s="776">
        <f>H60*'Emission Factors'!$B$633</f>
        <v>0</v>
      </c>
      <c r="J60" s="778"/>
      <c r="K60" s="777">
        <f t="shared" si="4"/>
        <v>0</v>
      </c>
      <c r="L60" s="776">
        <f>K60*'Emission Factors'!$B$634</f>
        <v>0</v>
      </c>
      <c r="M60" s="778"/>
      <c r="N60" s="777">
        <f t="shared" si="5"/>
        <v>0</v>
      </c>
      <c r="O60" s="776">
        <f>N60*'Emission Factors'!$B$635</f>
        <v>0</v>
      </c>
    </row>
    <row r="61" spans="1:15" s="689" customFormat="1" ht="14.5" x14ac:dyDescent="0.35">
      <c r="A61" s="772"/>
      <c r="B61" s="773"/>
      <c r="C61" s="774">
        <f t="shared" si="2"/>
        <v>0</v>
      </c>
      <c r="D61" s="775">
        <f>C61*1.10231*'Emission Factors'!$B$659</f>
        <v>0</v>
      </c>
      <c r="E61" s="773"/>
      <c r="F61" s="776">
        <f>E61*'Emission Factors'!$B$651/1000</f>
        <v>0</v>
      </c>
      <c r="G61" s="773"/>
      <c r="H61" s="777">
        <f t="shared" si="3"/>
        <v>0</v>
      </c>
      <c r="I61" s="776">
        <f>H61*'Emission Factors'!$B$633</f>
        <v>0</v>
      </c>
      <c r="J61" s="778"/>
      <c r="K61" s="777">
        <f t="shared" si="4"/>
        <v>0</v>
      </c>
      <c r="L61" s="776">
        <f>K61*'Emission Factors'!$B$634</f>
        <v>0</v>
      </c>
      <c r="M61" s="778"/>
      <c r="N61" s="777">
        <f t="shared" si="5"/>
        <v>0</v>
      </c>
      <c r="O61" s="776">
        <f>N61*'Emission Factors'!$B$635</f>
        <v>0</v>
      </c>
    </row>
    <row r="62" spans="1:15" s="689" customFormat="1" ht="14.5" x14ac:dyDescent="0.35">
      <c r="A62" s="772"/>
      <c r="B62" s="773"/>
      <c r="C62" s="774">
        <f t="shared" si="2"/>
        <v>0</v>
      </c>
      <c r="D62" s="775">
        <f>C62*1.10231*'Emission Factors'!$B$659</f>
        <v>0</v>
      </c>
      <c r="E62" s="773"/>
      <c r="F62" s="776">
        <f>E62*'Emission Factors'!$B$651/1000</f>
        <v>0</v>
      </c>
      <c r="G62" s="773"/>
      <c r="H62" s="777">
        <f t="shared" si="3"/>
        <v>0</v>
      </c>
      <c r="I62" s="776">
        <f>H62*'Emission Factors'!$B$633</f>
        <v>0</v>
      </c>
      <c r="J62" s="778"/>
      <c r="K62" s="777">
        <f t="shared" si="4"/>
        <v>0</v>
      </c>
      <c r="L62" s="776">
        <f>K62*'Emission Factors'!$B$634</f>
        <v>0</v>
      </c>
      <c r="M62" s="778"/>
      <c r="N62" s="777">
        <f t="shared" si="5"/>
        <v>0</v>
      </c>
      <c r="O62" s="776">
        <f>N62*'Emission Factors'!$B$635</f>
        <v>0</v>
      </c>
    </row>
    <row r="63" spans="1:15" s="689" customFormat="1" ht="14.5" x14ac:dyDescent="0.35">
      <c r="A63" s="772"/>
      <c r="B63" s="773"/>
      <c r="C63" s="774">
        <f t="shared" si="2"/>
        <v>0</v>
      </c>
      <c r="D63" s="775">
        <f>C63*1.10231*'Emission Factors'!$B$659</f>
        <v>0</v>
      </c>
      <c r="E63" s="773"/>
      <c r="F63" s="776">
        <f>E63*'Emission Factors'!$B$651/1000</f>
        <v>0</v>
      </c>
      <c r="G63" s="773"/>
      <c r="H63" s="777">
        <f t="shared" si="3"/>
        <v>0</v>
      </c>
      <c r="I63" s="776">
        <f>H63*'Emission Factors'!$B$633</f>
        <v>0</v>
      </c>
      <c r="J63" s="778"/>
      <c r="K63" s="777">
        <f t="shared" si="4"/>
        <v>0</v>
      </c>
      <c r="L63" s="776">
        <f>K63*'Emission Factors'!$B$634</f>
        <v>0</v>
      </c>
      <c r="M63" s="778"/>
      <c r="N63" s="777">
        <f t="shared" si="5"/>
        <v>0</v>
      </c>
      <c r="O63" s="776">
        <f>N63*'Emission Factors'!$B$635</f>
        <v>0</v>
      </c>
    </row>
    <row r="64" spans="1:15" s="689" customFormat="1" ht="14.5" x14ac:dyDescent="0.35">
      <c r="A64" s="772"/>
      <c r="B64" s="773"/>
      <c r="C64" s="774">
        <f t="shared" si="2"/>
        <v>0</v>
      </c>
      <c r="D64" s="775">
        <f>C64*1.10231*'Emission Factors'!$B$659</f>
        <v>0</v>
      </c>
      <c r="E64" s="773"/>
      <c r="F64" s="776">
        <f>E64*'Emission Factors'!$B$651/1000</f>
        <v>0</v>
      </c>
      <c r="G64" s="773"/>
      <c r="H64" s="777">
        <f t="shared" si="3"/>
        <v>0</v>
      </c>
      <c r="I64" s="776">
        <f>H64*'Emission Factors'!$B$633</f>
        <v>0</v>
      </c>
      <c r="J64" s="778"/>
      <c r="K64" s="777">
        <f t="shared" si="4"/>
        <v>0</v>
      </c>
      <c r="L64" s="776">
        <f>K64*'Emission Factors'!$B$634</f>
        <v>0</v>
      </c>
      <c r="M64" s="778"/>
      <c r="N64" s="777">
        <f t="shared" si="5"/>
        <v>0</v>
      </c>
      <c r="O64" s="776">
        <f>N64*'Emission Factors'!$B$635</f>
        <v>0</v>
      </c>
    </row>
    <row r="65" spans="1:17" s="689" customFormat="1" ht="14.5" x14ac:dyDescent="0.35">
      <c r="A65" s="772"/>
      <c r="B65" s="773"/>
      <c r="C65" s="774">
        <f t="shared" si="2"/>
        <v>0</v>
      </c>
      <c r="D65" s="775">
        <f>C65*1.10231*'Emission Factors'!$B$659</f>
        <v>0</v>
      </c>
      <c r="E65" s="773"/>
      <c r="F65" s="776">
        <f>E65*'Emission Factors'!$B$651/1000</f>
        <v>0</v>
      </c>
      <c r="G65" s="773"/>
      <c r="H65" s="777">
        <f t="shared" si="3"/>
        <v>0</v>
      </c>
      <c r="I65" s="776">
        <f>H65*'Emission Factors'!$B$633</f>
        <v>0</v>
      </c>
      <c r="J65" s="778"/>
      <c r="K65" s="777">
        <f t="shared" si="4"/>
        <v>0</v>
      </c>
      <c r="L65" s="776">
        <f>K65*'Emission Factors'!$B$634</f>
        <v>0</v>
      </c>
      <c r="M65" s="778"/>
      <c r="N65" s="777">
        <f t="shared" si="5"/>
        <v>0</v>
      </c>
      <c r="O65" s="776">
        <f>N65*'Emission Factors'!$B$635</f>
        <v>0</v>
      </c>
    </row>
    <row r="66" spans="1:17" s="689" customFormat="1" ht="14.5" x14ac:dyDescent="0.35">
      <c r="A66" s="772"/>
      <c r="B66" s="773"/>
      <c r="C66" s="774">
        <f t="shared" si="2"/>
        <v>0</v>
      </c>
      <c r="D66" s="775">
        <f>C66*1.10231*'Emission Factors'!$B$659</f>
        <v>0</v>
      </c>
      <c r="E66" s="773"/>
      <c r="F66" s="776">
        <f>E66*'Emission Factors'!$B$651/1000</f>
        <v>0</v>
      </c>
      <c r="G66" s="773"/>
      <c r="H66" s="777">
        <f t="shared" si="3"/>
        <v>0</v>
      </c>
      <c r="I66" s="776">
        <f>H66*'Emission Factors'!$B$633</f>
        <v>0</v>
      </c>
      <c r="J66" s="778"/>
      <c r="K66" s="777">
        <f t="shared" si="4"/>
        <v>0</v>
      </c>
      <c r="L66" s="776">
        <f>K66*'Emission Factors'!$B$634</f>
        <v>0</v>
      </c>
      <c r="M66" s="778"/>
      <c r="N66" s="777">
        <f t="shared" si="5"/>
        <v>0</v>
      </c>
      <c r="O66" s="776">
        <f>N66*'Emission Factors'!$B$635</f>
        <v>0</v>
      </c>
    </row>
    <row r="67" spans="1:17" s="689" customFormat="1" ht="14.5" x14ac:dyDescent="0.35">
      <c r="A67" s="772"/>
      <c r="B67" s="773"/>
      <c r="C67" s="774">
        <f t="shared" si="2"/>
        <v>0</v>
      </c>
      <c r="D67" s="775">
        <f>C67*1.10231*'Emission Factors'!$B$659</f>
        <v>0</v>
      </c>
      <c r="E67" s="773"/>
      <c r="F67" s="776">
        <f>E67*'Emission Factors'!$B$651/1000</f>
        <v>0</v>
      </c>
      <c r="G67" s="773"/>
      <c r="H67" s="777">
        <f t="shared" si="3"/>
        <v>0</v>
      </c>
      <c r="I67" s="776">
        <f>H67*'Emission Factors'!$B$633</f>
        <v>0</v>
      </c>
      <c r="J67" s="778"/>
      <c r="K67" s="777">
        <f t="shared" si="4"/>
        <v>0</v>
      </c>
      <c r="L67" s="776">
        <f>K67*'Emission Factors'!$B$634</f>
        <v>0</v>
      </c>
      <c r="M67" s="778"/>
      <c r="N67" s="777">
        <f t="shared" si="5"/>
        <v>0</v>
      </c>
      <c r="O67" s="776">
        <f>N67*'Emission Factors'!$B$635</f>
        <v>0</v>
      </c>
    </row>
    <row r="68" spans="1:17" s="689" customFormat="1" ht="14.5" x14ac:dyDescent="0.35">
      <c r="A68" s="772"/>
      <c r="B68" s="773"/>
      <c r="C68" s="774">
        <f t="shared" si="2"/>
        <v>0</v>
      </c>
      <c r="D68" s="775">
        <f>C68*1.10231*'Emission Factors'!$B$659</f>
        <v>0</v>
      </c>
      <c r="E68" s="773"/>
      <c r="F68" s="776">
        <f>E68*'Emission Factors'!$B$651/1000</f>
        <v>0</v>
      </c>
      <c r="G68" s="773"/>
      <c r="H68" s="777">
        <f t="shared" si="3"/>
        <v>0</v>
      </c>
      <c r="I68" s="776">
        <f>H68*'Emission Factors'!$B$633</f>
        <v>0</v>
      </c>
      <c r="J68" s="778"/>
      <c r="K68" s="777">
        <f t="shared" si="4"/>
        <v>0</v>
      </c>
      <c r="L68" s="776">
        <f>K68*'Emission Factors'!$B$634</f>
        <v>0</v>
      </c>
      <c r="M68" s="778"/>
      <c r="N68" s="777">
        <f t="shared" si="5"/>
        <v>0</v>
      </c>
      <c r="O68" s="776">
        <f>N68*'Emission Factors'!$B$635</f>
        <v>0</v>
      </c>
    </row>
    <row r="69" spans="1:17" s="689" customFormat="1" ht="14.5" x14ac:dyDescent="0.35">
      <c r="A69" s="772"/>
      <c r="B69" s="773"/>
      <c r="C69" s="774">
        <f t="shared" si="2"/>
        <v>0</v>
      </c>
      <c r="D69" s="775">
        <f>C69*1.10231*'Emission Factors'!$B$659</f>
        <v>0</v>
      </c>
      <c r="E69" s="773"/>
      <c r="F69" s="776">
        <f>E69*'Emission Factors'!$B$651/1000</f>
        <v>0</v>
      </c>
      <c r="G69" s="773"/>
      <c r="H69" s="777">
        <f t="shared" si="3"/>
        <v>0</v>
      </c>
      <c r="I69" s="776">
        <f>H69*'Emission Factors'!$B$633</f>
        <v>0</v>
      </c>
      <c r="J69" s="778"/>
      <c r="K69" s="777">
        <f t="shared" si="4"/>
        <v>0</v>
      </c>
      <c r="L69" s="776">
        <f>K69*'Emission Factors'!$B$634</f>
        <v>0</v>
      </c>
      <c r="M69" s="778"/>
      <c r="N69" s="777">
        <f t="shared" si="5"/>
        <v>0</v>
      </c>
      <c r="O69" s="776">
        <f>N69*'Emission Factors'!$B$635</f>
        <v>0</v>
      </c>
    </row>
    <row r="70" spans="1:17" s="689" customFormat="1" ht="14.5" x14ac:dyDescent="0.35">
      <c r="A70" s="772"/>
      <c r="B70" s="773"/>
      <c r="C70" s="774">
        <f t="shared" si="2"/>
        <v>0</v>
      </c>
      <c r="D70" s="775">
        <f>C70*1.10231*'Emission Factors'!$B$659</f>
        <v>0</v>
      </c>
      <c r="E70" s="773"/>
      <c r="F70" s="776">
        <f>E70*'Emission Factors'!$B$651/1000</f>
        <v>0</v>
      </c>
      <c r="G70" s="773"/>
      <c r="H70" s="777">
        <f t="shared" si="3"/>
        <v>0</v>
      </c>
      <c r="I70" s="776">
        <f>H70*'Emission Factors'!$B$633</f>
        <v>0</v>
      </c>
      <c r="J70" s="778"/>
      <c r="K70" s="777">
        <f t="shared" si="4"/>
        <v>0</v>
      </c>
      <c r="L70" s="776">
        <f>K70*'Emission Factors'!$B$634</f>
        <v>0</v>
      </c>
      <c r="M70" s="778"/>
      <c r="N70" s="777">
        <f t="shared" si="5"/>
        <v>0</v>
      </c>
      <c r="O70" s="776">
        <f>N70*'Emission Factors'!$B$635</f>
        <v>0</v>
      </c>
    </row>
    <row r="71" spans="1:17" s="689" customFormat="1" ht="14.5" x14ac:dyDescent="0.35">
      <c r="A71" s="772"/>
      <c r="B71" s="773"/>
      <c r="C71" s="774">
        <f t="shared" si="2"/>
        <v>0</v>
      </c>
      <c r="D71" s="775">
        <f>C71*1.10231*'Emission Factors'!$B$659</f>
        <v>0</v>
      </c>
      <c r="E71" s="773"/>
      <c r="F71" s="776">
        <f>E71*'Emission Factors'!$B$651/1000</f>
        <v>0</v>
      </c>
      <c r="G71" s="773"/>
      <c r="H71" s="777">
        <f t="shared" si="3"/>
        <v>0</v>
      </c>
      <c r="I71" s="776">
        <f>H71*'Emission Factors'!$B$633</f>
        <v>0</v>
      </c>
      <c r="J71" s="778"/>
      <c r="K71" s="777">
        <f t="shared" si="4"/>
        <v>0</v>
      </c>
      <c r="L71" s="776">
        <f>K71*'Emission Factors'!$B$634</f>
        <v>0</v>
      </c>
      <c r="M71" s="778"/>
      <c r="N71" s="777">
        <f t="shared" si="5"/>
        <v>0</v>
      </c>
      <c r="O71" s="776">
        <f>N71*'Emission Factors'!$B$635</f>
        <v>0</v>
      </c>
    </row>
    <row r="72" spans="1:17" s="689" customFormat="1" ht="14.5" x14ac:dyDescent="0.35">
      <c r="A72" s="772"/>
      <c r="B72" s="773"/>
      <c r="C72" s="774">
        <f t="shared" si="2"/>
        <v>0</v>
      </c>
      <c r="D72" s="775">
        <f>C72*1.10231*'Emission Factors'!$B$659</f>
        <v>0</v>
      </c>
      <c r="E72" s="773"/>
      <c r="F72" s="776">
        <f>E72*'Emission Factors'!$B$651/1000</f>
        <v>0</v>
      </c>
      <c r="G72" s="773"/>
      <c r="H72" s="777">
        <f t="shared" si="3"/>
        <v>0</v>
      </c>
      <c r="I72" s="776">
        <f>H72*'Emission Factors'!$B$633</f>
        <v>0</v>
      </c>
      <c r="J72" s="778"/>
      <c r="K72" s="777">
        <f t="shared" si="4"/>
        <v>0</v>
      </c>
      <c r="L72" s="776">
        <f>K72*'Emission Factors'!$B$634</f>
        <v>0</v>
      </c>
      <c r="M72" s="778"/>
      <c r="N72" s="777">
        <f t="shared" si="5"/>
        <v>0</v>
      </c>
      <c r="O72" s="776">
        <f>N72*'Emission Factors'!$B$635</f>
        <v>0</v>
      </c>
    </row>
    <row r="73" spans="1:17" s="689" customFormat="1" ht="14.5" x14ac:dyDescent="0.35">
      <c r="A73" s="772"/>
      <c r="B73" s="773"/>
      <c r="C73" s="774">
        <f t="shared" si="2"/>
        <v>0</v>
      </c>
      <c r="D73" s="775">
        <f>C73*1.10231*'Emission Factors'!$B$659</f>
        <v>0</v>
      </c>
      <c r="E73" s="773"/>
      <c r="F73" s="776">
        <f>E73*'Emission Factors'!$B$651/1000</f>
        <v>0</v>
      </c>
      <c r="G73" s="773"/>
      <c r="H73" s="777">
        <f t="shared" si="3"/>
        <v>0</v>
      </c>
      <c r="I73" s="776">
        <f>H73*'Emission Factors'!$B$633</f>
        <v>0</v>
      </c>
      <c r="J73" s="778"/>
      <c r="K73" s="777">
        <f t="shared" si="4"/>
        <v>0</v>
      </c>
      <c r="L73" s="776">
        <f>K73*'Emission Factors'!$B$634</f>
        <v>0</v>
      </c>
      <c r="M73" s="778"/>
      <c r="N73" s="777">
        <f t="shared" si="5"/>
        <v>0</v>
      </c>
      <c r="O73" s="776">
        <f>N73*'Emission Factors'!$B$635</f>
        <v>0</v>
      </c>
    </row>
    <row r="74" spans="1:17" s="689" customFormat="1" ht="14.5" x14ac:dyDescent="0.35">
      <c r="A74" s="772"/>
      <c r="B74" s="773"/>
      <c r="C74" s="774">
        <f t="shared" si="2"/>
        <v>0</v>
      </c>
      <c r="D74" s="775">
        <f>C74*1.10231*'Emission Factors'!$B$659</f>
        <v>0</v>
      </c>
      <c r="E74" s="773"/>
      <c r="F74" s="776">
        <f>E74*'Emission Factors'!$B$651/1000</f>
        <v>0</v>
      </c>
      <c r="G74" s="773"/>
      <c r="H74" s="777">
        <f t="shared" si="3"/>
        <v>0</v>
      </c>
      <c r="I74" s="776">
        <f>H74*'Emission Factors'!$B$633</f>
        <v>0</v>
      </c>
      <c r="J74" s="778"/>
      <c r="K74" s="777">
        <f t="shared" si="4"/>
        <v>0</v>
      </c>
      <c r="L74" s="776">
        <f>K74*'Emission Factors'!$B$634</f>
        <v>0</v>
      </c>
      <c r="M74" s="778"/>
      <c r="N74" s="777">
        <f t="shared" si="5"/>
        <v>0</v>
      </c>
      <c r="O74" s="776">
        <f>N74*'Emission Factors'!$B$635</f>
        <v>0</v>
      </c>
    </row>
    <row r="75" spans="1:17" s="689" customFormat="1" ht="15" thickBot="1" x14ac:dyDescent="0.4">
      <c r="A75" s="772"/>
      <c r="B75" s="779"/>
      <c r="C75" s="780">
        <f t="shared" si="2"/>
        <v>0</v>
      </c>
      <c r="D75" s="781">
        <f>C75*1.10231*'Emission Factors'!$B$659</f>
        <v>0</v>
      </c>
      <c r="E75" s="779"/>
      <c r="F75" s="782">
        <f>E75*'Emission Factors'!$B$651/1000</f>
        <v>0</v>
      </c>
      <c r="G75" s="783"/>
      <c r="H75" s="784">
        <f t="shared" si="3"/>
        <v>0</v>
      </c>
      <c r="I75" s="782">
        <f>H75*'Emission Factors'!$B$633</f>
        <v>0</v>
      </c>
      <c r="J75" s="783"/>
      <c r="K75" s="784">
        <f t="shared" si="4"/>
        <v>0</v>
      </c>
      <c r="L75" s="782">
        <f>K75*'Emission Factors'!$B$634</f>
        <v>0</v>
      </c>
      <c r="M75" s="783"/>
      <c r="N75" s="784">
        <f t="shared" si="5"/>
        <v>0</v>
      </c>
      <c r="O75" s="782">
        <f>N75*'Emission Factors'!$B$635</f>
        <v>0</v>
      </c>
    </row>
    <row r="76" spans="1:17" s="617" customFormat="1" ht="21.5" thickBot="1" x14ac:dyDescent="0.55000000000000004">
      <c r="C76" s="785" t="s">
        <v>413</v>
      </c>
      <c r="D76" s="785">
        <f>SUM(D40:D75)</f>
        <v>0</v>
      </c>
      <c r="F76" s="785">
        <f>SUM(F40:F75)</f>
        <v>0</v>
      </c>
      <c r="I76" s="785">
        <f>SUM(I40:I75)</f>
        <v>0</v>
      </c>
      <c r="L76" s="785">
        <f>SUM(L40:L75)</f>
        <v>0</v>
      </c>
      <c r="O76" s="785">
        <f>SUM(O40:O75)</f>
        <v>0</v>
      </c>
      <c r="Q76" s="689"/>
    </row>
  </sheetData>
  <sheetProtection algorithmName="SHA-512" hashValue="dDplP5N5LOFexOPhj/Ebr847bp/dcviSICR41oalaI0p93BHkB7FW6kpzbT7kBvbP9E31uJP5nKc7KLJaGg0Uw==" saltValue="LVDA38myIOEEp2mSXv55Ug==" spinCount="100000" sheet="1"/>
  <mergeCells count="11">
    <mergeCell ref="H1:M1"/>
    <mergeCell ref="B1:E1"/>
    <mergeCell ref="D14:E14"/>
    <mergeCell ref="A35:T35"/>
    <mergeCell ref="A12:T12"/>
    <mergeCell ref="D37:E37"/>
    <mergeCell ref="E38:F38"/>
    <mergeCell ref="G38:I38"/>
    <mergeCell ref="J38:L38"/>
    <mergeCell ref="M38:O38"/>
    <mergeCell ref="B38:D38"/>
  </mergeCells>
  <pageMargins left="0.7" right="0.7" top="0.75" bottom="0.75" header="0.3" footer="0.3"/>
  <pageSetup orientation="portrait" horizontalDpi="4294967293"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0019c3a-4600-4b6a-b4d9-e3025eced57d">
      <UserInfo>
        <DisplayName>Josep Maria Ribas Portella</DisplayName>
        <AccountId>13</AccountId>
        <AccountType/>
      </UserInfo>
      <UserInfo>
        <DisplayName>Elizabeth Young</DisplayName>
        <AccountId>138</AccountId>
        <AccountType/>
      </UserInfo>
      <UserInfo>
        <DisplayName>Julien Gervreau</DisplayName>
        <AccountId>56</AccountId>
        <AccountType/>
      </UserInfo>
      <UserInfo>
        <DisplayName>Ian Yue</DisplayName>
        <AccountId>11</AccountId>
        <AccountType/>
      </UserInfo>
    </SharedWithUsers>
    <TaxCatchAll xmlns="90019c3a-4600-4b6a-b4d9-e3025eced57d" xsi:nil="true"/>
    <lcf76f155ced4ddcb4097134ff3c332f xmlns="84e3048a-e191-4739-9d0f-915b7292964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A7C3E0DE8421749BF416AF68FC6549C" ma:contentTypeVersion="16" ma:contentTypeDescription="Create a new document." ma:contentTypeScope="" ma:versionID="05b4992fbf7e38f44afad69e6790ebe4">
  <xsd:schema xmlns:xsd="http://www.w3.org/2001/XMLSchema" xmlns:xs="http://www.w3.org/2001/XMLSchema" xmlns:p="http://schemas.microsoft.com/office/2006/metadata/properties" xmlns:ns2="84e3048a-e191-4739-9d0f-915b72929644" xmlns:ns3="90019c3a-4600-4b6a-b4d9-e3025eced57d" targetNamespace="http://schemas.microsoft.com/office/2006/metadata/properties" ma:root="true" ma:fieldsID="53d3e4a7a99f484cdff797e1410c4fbe" ns2:_="" ns3:_="">
    <xsd:import namespace="84e3048a-e191-4739-9d0f-915b72929644"/>
    <xsd:import namespace="90019c3a-4600-4b6a-b4d9-e3025eced5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e3048a-e191-4739-9d0f-915b729296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091f755-7813-4523-8fa5-f7377e17830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019c3a-4600-4b6a-b4d9-e3025eced5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5a8da9b-4e4e-4673-948a-0b9b1a4cfbe5}" ma:internalName="TaxCatchAll" ma:showField="CatchAllData" ma:web="90019c3a-4600-4b6a-b4d9-e3025eced5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F3FB9D-08C5-489D-A4A6-26B901EE3F68}">
  <ds:schemaRefs>
    <ds:schemaRef ds:uri="http://schemas.microsoft.com/office/2006/metadata/properties"/>
    <ds:schemaRef ds:uri="http://schemas.microsoft.com/office/infopath/2007/PartnerControls"/>
    <ds:schemaRef ds:uri="90019c3a-4600-4b6a-b4d9-e3025eced57d"/>
    <ds:schemaRef ds:uri="84e3048a-e191-4739-9d0f-915b72929644"/>
  </ds:schemaRefs>
</ds:datastoreItem>
</file>

<file path=customXml/itemProps2.xml><?xml version="1.0" encoding="utf-8"?>
<ds:datastoreItem xmlns:ds="http://schemas.openxmlformats.org/officeDocument/2006/customXml" ds:itemID="{8110CCB2-C8B4-4F1C-BC53-6BC7EA8848EE}">
  <ds:schemaRefs>
    <ds:schemaRef ds:uri="http://schemas.microsoft.com/sharepoint/v3/contenttype/forms"/>
  </ds:schemaRefs>
</ds:datastoreItem>
</file>

<file path=customXml/itemProps3.xml><?xml version="1.0" encoding="utf-8"?>
<ds:datastoreItem xmlns:ds="http://schemas.openxmlformats.org/officeDocument/2006/customXml" ds:itemID="{F61AB3F3-DC62-4131-98F9-B780D9801D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e3048a-e191-4739-9d0f-915b72929644"/>
    <ds:schemaRef ds:uri="90019c3a-4600-4b6a-b4d9-e3025eced5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Intro</vt:lpstr>
      <vt:lpstr>IWCA GHG Boundaries</vt:lpstr>
      <vt:lpstr>Summary</vt:lpstr>
      <vt:lpstr>GHG Emissons Breakdown</vt:lpstr>
      <vt:lpstr>Auditor Worksheet</vt:lpstr>
      <vt:lpstr>Stationary</vt:lpstr>
      <vt:lpstr>Mobile</vt:lpstr>
      <vt:lpstr>Soil and Fertilizer</vt:lpstr>
      <vt:lpstr>Onsite Waste</vt:lpstr>
      <vt:lpstr>Fugitive (refrigerants)</vt:lpstr>
      <vt:lpstr>Biomass Burning</vt:lpstr>
      <vt:lpstr>Land Conversion</vt:lpstr>
      <vt:lpstr>Electricity</vt:lpstr>
      <vt:lpstr>Packaging</vt:lpstr>
      <vt:lpstr>Purchased Products</vt:lpstr>
      <vt:lpstr>Product Transport</vt:lpstr>
      <vt:lpstr>Offsite Waste</vt:lpstr>
      <vt:lpstr>Post Consumer Waste</vt:lpstr>
      <vt:lpstr>Business Travel</vt:lpstr>
      <vt:lpstr>Employee Commuting</vt:lpstr>
      <vt:lpstr>Tasting Room Traffic</vt:lpstr>
      <vt:lpstr>Fertilizer Production</vt:lpstr>
      <vt:lpstr>Wine Storage Energy</vt:lpstr>
      <vt:lpstr>Winemaking</vt:lpstr>
      <vt:lpstr>Vineyard - Row Cropping</vt:lpstr>
      <vt:lpstr>Vineyard - Biomass Photosynth</vt:lpstr>
      <vt:lpstr>Compost Application</vt:lpstr>
      <vt:lpstr>Soil Carbon Sequestration</vt:lpstr>
      <vt:lpstr>Emission Factors</vt:lpstr>
      <vt:lpstr>'Auditor Worksheet'!Área_de_impresión</vt:lpstr>
      <vt:lpstr>'Emission Factors'!OLE_LINK3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Prigge</dc:creator>
  <cp:keywords/>
  <dc:description/>
  <cp:lastModifiedBy>Francisca Estartus</cp:lastModifiedBy>
  <cp:revision/>
  <dcterms:created xsi:type="dcterms:W3CDTF">2018-04-06T19:26:16Z</dcterms:created>
  <dcterms:modified xsi:type="dcterms:W3CDTF">2024-07-05T10:03:33Z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0x0101009A7C3E0DE8421749BF416AF68FC6549C</vt:lpwstr>
  </property>
  <property fmtid="{D5CDD505-2E9C-101B-9397-08002B2CF9AE}" pid="3" name="AuthorIds_UIVersion_512">
    <vt:lpwstr>26</vt:lpwstr>
  </property>
  <property fmtid="{D5CDD505-2E9C-101B-9397-08002B2CF9AE}" pid="4" name="MediaServiceImageTags">
    <vt:lpwstr/>
  </property>
</Properties>
</file>